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244" tabRatio="912" firstSheet="4" activeTab="9"/>
  </bookViews>
  <sheets>
    <sheet name="TOTAL" sheetId="1" r:id="rId1"/>
    <sheet name="1-მოსამზადებელი სამუშაოები" sheetId="2" r:id="rId2"/>
    <sheet name="3-თეთრი კარკასი-პარკინგი" sheetId="35" r:id="rId3"/>
    <sheet name="4- თეთრი კარკასი-მოლი" sheetId="14" r:id="rId4"/>
    <sheet name="5-თეთრი კარკასი - ოფისი" sheetId="52" r:id="rId5"/>
    <sheet name="6-პარკინგი" sheetId="24" r:id="rId6"/>
    <sheet name="7- მოლი" sheetId="38" r:id="rId7"/>
    <sheet name="8-ოფისი" sheetId="58" r:id="rId8"/>
    <sheet name="9-კიბის უჯრედი" sheetId="53" r:id="rId9"/>
    <sheet name="10-ფასადი" sheetId="55" r:id="rId10"/>
    <sheet name="11-კარები" sheetId="54" r:id="rId11"/>
    <sheet name="12-გარე კეთილმოწყობა" sheetId="57" r:id="rId12"/>
  </sheets>
  <externalReferences>
    <externalReference r:id="rId15"/>
  </externalReferences>
  <definedNames>
    <definedName name="euro" localSheetId="11">#REF!</definedName>
    <definedName name="euro" localSheetId="4">#REF!</definedName>
    <definedName name="euro" localSheetId="7">#REF!</definedName>
    <definedName name="euro">#REF!</definedName>
    <definedName name="euro1" localSheetId="11">#REF!</definedName>
    <definedName name="euro1" localSheetId="7">#REF!</definedName>
    <definedName name="euro1">#REF!</definedName>
    <definedName name="kurz" localSheetId="11">#REF!</definedName>
    <definedName name="kurz" localSheetId="4">#REF!</definedName>
    <definedName name="kurz" localSheetId="7">#REF!</definedName>
    <definedName name="kurz">#REF!</definedName>
    <definedName name="kurz1" localSheetId="11">#REF!</definedName>
    <definedName name="kurz1" localSheetId="7">#REF!</definedName>
    <definedName name="kurz1">#REF!</definedName>
    <definedName name="material">'[1]Rekapitulace'!$H$13</definedName>
    <definedName name="materials">'[1]Rekapitulace'!$H$13</definedName>
    <definedName name="montaz">'[1]Rekapitulace'!$G$13</definedName>
    <definedName name="montazs">'[1]Rekapitulace'!$G$13</definedName>
    <definedName name="_xlnm.Print_Titles" localSheetId="2">'3-თეთრი კარკასი-პარკინგი'!$7:$10</definedName>
    <definedName name="_xlnm.Print_Titles" localSheetId="3">'4- თეთრი კარკასი-მოლი'!$7:$10</definedName>
    <definedName name="_xlnm.Print_Titles" localSheetId="4">'5-თეთრი კარკასი - ოფისი'!$7:$10</definedName>
    <definedName name="_xlnm.Print_Titles" localSheetId="6">'7- მოლი'!$7:$10</definedName>
    <definedName name="_xlnm.Print_Titles" localSheetId="7">'8-ოფისი'!$7:$10</definedName>
  </definedNames>
  <calcPr calcId="162913"/>
</workbook>
</file>

<file path=xl/sharedStrings.xml><?xml version="1.0" encoding="utf-8"?>
<sst xmlns="http://schemas.openxmlformats.org/spreadsheetml/2006/main" count="1732" uniqueCount="303">
  <si>
    <t>##</t>
  </si>
  <si>
    <t>1</t>
  </si>
  <si>
    <t>3</t>
  </si>
  <si>
    <t>4</t>
  </si>
  <si>
    <t>6</t>
  </si>
  <si>
    <t>7</t>
  </si>
  <si>
    <t>8</t>
  </si>
  <si>
    <t>9</t>
  </si>
  <si>
    <t>10</t>
  </si>
  <si>
    <t>11</t>
  </si>
  <si>
    <t>TOTAL VALUE</t>
  </si>
  <si>
    <t>GEL</t>
  </si>
  <si>
    <t>USD</t>
  </si>
  <si>
    <t>RATE</t>
  </si>
  <si>
    <t>5</t>
  </si>
  <si>
    <t>Total</t>
  </si>
  <si>
    <t>TOTAL</t>
  </si>
  <si>
    <t>m/2</t>
  </si>
  <si>
    <t>14</t>
  </si>
  <si>
    <t>BoQ</t>
  </si>
  <si>
    <t>Floor</t>
  </si>
  <si>
    <t>1 - SITE PREPARATION - ***PROVISIONAL SUM</t>
  </si>
  <si>
    <t>***Provisional Sum to be Agreed with the Contractor before Contract Signature</t>
  </si>
  <si>
    <t>Temporary Utilities</t>
  </si>
  <si>
    <t>Temporary Facilities &amp; Fence</t>
  </si>
  <si>
    <t>13</t>
  </si>
  <si>
    <t>15</t>
  </si>
  <si>
    <t>12</t>
  </si>
  <si>
    <t>#</t>
  </si>
  <si>
    <t>SUMMARY PAGE</t>
  </si>
  <si>
    <t>The Price Per Square Meter</t>
  </si>
  <si>
    <t xml:space="preserve">Grand Total/Per Total % </t>
  </si>
  <si>
    <t>სეისმური ნაკერი</t>
  </si>
  <si>
    <t>სხვა მასალები</t>
  </si>
  <si>
    <t>იატაკი</t>
  </si>
  <si>
    <t>კედლები</t>
  </si>
  <si>
    <t>სითი მოლი საბურთალო</t>
  </si>
  <si>
    <t>კონსტრუქცია</t>
  </si>
  <si>
    <t>თეთრი კარკასი</t>
  </si>
  <si>
    <t>მოსაპირკეთებელი სამუშაოები</t>
  </si>
  <si>
    <t>თეთრი კარკასი - პარკინგი</t>
  </si>
  <si>
    <t>თეთრი კარკასი - მოლი</t>
  </si>
  <si>
    <t>თეთრი კარკასი - ოფისი</t>
  </si>
  <si>
    <t>პარკინგი</t>
  </si>
  <si>
    <t>მოლი</t>
  </si>
  <si>
    <t>კიბის უჯრედი</t>
  </si>
  <si>
    <t>ფასადი</t>
  </si>
  <si>
    <t>კარები</t>
  </si>
  <si>
    <t>მოსამზადებელი სამუშაოები</t>
  </si>
  <si>
    <t>დეტალური ხარჯთაღრიცხვა</t>
  </si>
  <si>
    <t>რაოდენობა</t>
  </si>
  <si>
    <t>სამშენებლო ფართი (მ/2)</t>
  </si>
  <si>
    <t>ჩამონათვალი</t>
  </si>
  <si>
    <t>ერთეული</t>
  </si>
  <si>
    <t>მასალა</t>
  </si>
  <si>
    <t>მუშა ხელი</t>
  </si>
  <si>
    <t>სულ</t>
  </si>
  <si>
    <t>სულ ერთეულზე</t>
  </si>
  <si>
    <t xml:space="preserve"> ერთ. ღირებულება</t>
  </si>
  <si>
    <t>ნორმატივი</t>
  </si>
  <si>
    <t>ერთ ფასი</t>
  </si>
  <si>
    <t>ნახაზის ნომერი:</t>
  </si>
  <si>
    <t>აშშ დოლარი</t>
  </si>
  <si>
    <t>ლარი</t>
  </si>
  <si>
    <t>გაცვლითი კურსი</t>
  </si>
  <si>
    <t>4 - თეთრი კარკასი - მოლი</t>
  </si>
  <si>
    <t>გრ/მ</t>
  </si>
  <si>
    <t>ტრანსპორტირების ხარჯი:</t>
  </si>
  <si>
    <t>ზედნადები ხარჯი:</t>
  </si>
  <si>
    <t>მოგება:</t>
  </si>
  <si>
    <t>გაუთვალისწინებელი ხარჯი:</t>
  </si>
  <si>
    <t>დღგ</t>
  </si>
  <si>
    <t>ბლოკი10X20X40 სმ</t>
  </si>
  <si>
    <t>ცალი</t>
  </si>
  <si>
    <t xml:space="preserve">ქვიშა </t>
  </si>
  <si>
    <t>მ3</t>
  </si>
  <si>
    <t>ცემენტი M 400</t>
  </si>
  <si>
    <t>ტ</t>
  </si>
  <si>
    <t>გამაგრება ყოველ მე-3 რიგში</t>
  </si>
  <si>
    <t>ჭერის და კედლის დააკავშრებელი ფოლადის კუთხოვანა</t>
  </si>
  <si>
    <t>ქვაბამბა 30მმ</t>
  </si>
  <si>
    <t>მ2</t>
  </si>
  <si>
    <t>ბლოკი 20X20X40 სმ</t>
  </si>
  <si>
    <t>ცემენტი 400</t>
  </si>
  <si>
    <t>ქვიშა ცემენტით ლესვა</t>
  </si>
  <si>
    <t>ტემპერატურული ნაკერი</t>
  </si>
  <si>
    <t>100 მმ ბლოკის კედლები</t>
  </si>
  <si>
    <t>200 მმ ბლოკის კედლები</t>
  </si>
  <si>
    <t>დამცავი ფენა</t>
  </si>
  <si>
    <t>ჭერები</t>
  </si>
  <si>
    <t>დონე +0.00 (0 სართული)</t>
  </si>
  <si>
    <t>დონე +9.68 (+2 სართული)</t>
  </si>
  <si>
    <t>დონე +14.98 (+3 სართული)</t>
  </si>
  <si>
    <t>დონე +4.38 (+1 სართული)</t>
  </si>
  <si>
    <t>ქვიშა ცემენტის მოჭიმვა - კერამიკული ფილისთვის</t>
  </si>
  <si>
    <t>ქვიშა ცემენტის მოჭიმვა - კერამიკული ფილისთვის სან.კვანძი</t>
  </si>
  <si>
    <t>30 მმ პემზა</t>
  </si>
  <si>
    <t>40 მმ ქვიშა ცემენტის მოჭიმვა</t>
  </si>
  <si>
    <t xml:space="preserve">1 ფენა ჰიდრო იზოლაცია </t>
  </si>
  <si>
    <t>5 - თეთრი კარკასი - ოფისი</t>
  </si>
  <si>
    <t xml:space="preserve">2 ფენა ჰიდრო იზოლაცია </t>
  </si>
  <si>
    <t>თბო იზოლაცია XPS</t>
  </si>
  <si>
    <t>30-100 მმ არმირებული მოჭიმვა</t>
  </si>
  <si>
    <t>50 მმ არმირებული მოჭიმვა</t>
  </si>
  <si>
    <t>ქვიშა ცემენტის მოჭიმვა - ტერასები</t>
  </si>
  <si>
    <t>ქვიშა ცემენტის მოჭიმვა - ოფისი</t>
  </si>
  <si>
    <t>იატაკის მოპრიალება</t>
  </si>
  <si>
    <t>მ/2</t>
  </si>
  <si>
    <t>თაბაშირ-მუყაოს ფილა</t>
  </si>
  <si>
    <t>ჰორიზონტალური არხი UD 28/27</t>
  </si>
  <si>
    <t>ვერტიკალური საკიდი CD 60/27</t>
  </si>
  <si>
    <t>გრძ/მ</t>
  </si>
  <si>
    <t>საკიდის სამაგრი დეტალი  60/27</t>
  </si>
  <si>
    <t>ხრახნი LN 9</t>
  </si>
  <si>
    <t>ხრახნი TN 25</t>
  </si>
  <si>
    <t>ბეტონის ანკერი K 6/35</t>
  </si>
  <si>
    <t>თაბაშირ-მუყაოს ტიხარი 200 მმ / კომერციულ ფართებს შორის</t>
  </si>
  <si>
    <t>თაბაშირ მუყაო</t>
  </si>
  <si>
    <t>ჭერის საკიდი CD 60/27</t>
  </si>
  <si>
    <t>ჭერის საკიდი ელემენტი CD</t>
  </si>
  <si>
    <t>ხრახნი MN 30</t>
  </si>
  <si>
    <t>ხრახნი FN 5.1x35</t>
  </si>
  <si>
    <t>ხრახნი LN 3.5x9</t>
  </si>
  <si>
    <t xml:space="preserve">ერთ შრიანი ნესტგამძლე თაბაშირ მუყაოს ჭერის მოპირკეთბა </t>
  </si>
  <si>
    <t>თაბაშირ-მუყაოს ტიხარი 200 მმ / ვიტრაჟების თავების მოპირკეთება</t>
  </si>
  <si>
    <t>დონე +20.28 (+4 სართული)</t>
  </si>
  <si>
    <t>დონე +23.88 (+5 სართული)</t>
  </si>
  <si>
    <t>დონე +27.48 (+6 სართული)</t>
  </si>
  <si>
    <t>დონე +31.08 (+7 სართული)</t>
  </si>
  <si>
    <t>დონე +34.68 (+8 სართული)</t>
  </si>
  <si>
    <t>დონე +38.28 (+9 სართული)</t>
  </si>
  <si>
    <t>დონე +41.88 (+10 სართული)</t>
  </si>
  <si>
    <t>დონე +45.48 (+11 სართული)</t>
  </si>
  <si>
    <t>დონე +49.08 (+12 სართული)</t>
  </si>
  <si>
    <t>დონე +52.68 (+13 სართული)</t>
  </si>
  <si>
    <t>დონე +56.28 (+14 სართული)</t>
  </si>
  <si>
    <t>დონე +59.88 (+15 სართული)</t>
  </si>
  <si>
    <t>დონე +63.48 (+16 სართული)</t>
  </si>
  <si>
    <t>დონე +67.08 (+17 სართული)</t>
  </si>
  <si>
    <t>დონე +70.68 (+18 სართული)</t>
  </si>
  <si>
    <t>6-პარკინგი</t>
  </si>
  <si>
    <t>შემავსებელი</t>
  </si>
  <si>
    <t>კგ</t>
  </si>
  <si>
    <t>კუთხოვანები</t>
  </si>
  <si>
    <t>პრაიმერი</t>
  </si>
  <si>
    <t>ლ</t>
  </si>
  <si>
    <t>საღებავი</t>
  </si>
  <si>
    <t>ლესვა</t>
  </si>
  <si>
    <t>ერთ ფასი მასალზე</t>
  </si>
  <si>
    <t>ერთ ფასი მუშა ხელზე</t>
  </si>
  <si>
    <t xml:space="preserve">თაბაშირ-მუყაოს ფილა </t>
  </si>
  <si>
    <t>მინაბამბა აბამბა 50მმ</t>
  </si>
  <si>
    <t>თაბაშირ-მუყაოს ტიხარი 100 მმ / კომერციულ ფართებს შორის</t>
  </si>
  <si>
    <t>კედლების და კოლონების ღებვა</t>
  </si>
  <si>
    <t>ჭერების ლაქის დამუშავება</t>
  </si>
  <si>
    <t>ლაქი</t>
  </si>
  <si>
    <t>გაცვლის კურსი</t>
  </si>
  <si>
    <t xml:space="preserve">მუშა ხელი </t>
  </si>
  <si>
    <t>ერთ.ფასი</t>
  </si>
  <si>
    <t xml:space="preserve">იატაკები (საფეხურები და კიბის ბაქნები) </t>
  </si>
  <si>
    <t>50 მმ ქვიშა ცემენტის მოჭიმვა</t>
  </si>
  <si>
    <t>წებ</t>
  </si>
  <si>
    <t xml:space="preserve">ჭერებისა და კიბის უჯრედების ქვედა მხარის მოსამზადებელი და სამღებრო სამუშაოები </t>
  </si>
  <si>
    <t>რკინის მოაჯირი</t>
  </si>
  <si>
    <t>მოაჯირი</t>
  </si>
  <si>
    <t>საკიდი ანკერების ჩათვლით</t>
  </si>
  <si>
    <t>ტრასპორტირება:</t>
  </si>
  <si>
    <t>კიბის უჯრედი  #1</t>
  </si>
  <si>
    <t>კიბის უჯრედი  #2</t>
  </si>
  <si>
    <t>კიბის უჯრედი  #3</t>
  </si>
  <si>
    <t xml:space="preserve">ჩამონათვალი </t>
  </si>
  <si>
    <t>MDF კარი</t>
  </si>
  <si>
    <t>MDF კარებები</t>
  </si>
  <si>
    <t>ტრანსპოერტირების თანხა</t>
  </si>
  <si>
    <t>ზედნადები ხარჯი</t>
  </si>
  <si>
    <t>მოგება</t>
  </si>
  <si>
    <t>გაუთვალისწინებელი ხარჯი</t>
  </si>
  <si>
    <t xml:space="preserve">თბო იზოლაცია XPS </t>
  </si>
  <si>
    <t>ანკერის ფოლადის სამაგრი(XPS)</t>
  </si>
  <si>
    <t xml:space="preserve">სხვა მასალები </t>
  </si>
  <si>
    <t>გარე დათბუნებული ფასადი-ლესვა</t>
  </si>
  <si>
    <t>ტრანსპორტირება:</t>
  </si>
  <si>
    <t xml:space="preserve">სულ </t>
  </si>
  <si>
    <t>7 - მოლი</t>
  </si>
  <si>
    <t>კერამიკული ფილები / ღია სივრცე</t>
  </si>
  <si>
    <t>კერამიკული ფილები სან.კვანძები</t>
  </si>
  <si>
    <t>კერამიკული ფილები ტერასაზე</t>
  </si>
  <si>
    <t>წებო</t>
  </si>
  <si>
    <t>კერამიკული ფილა</t>
  </si>
  <si>
    <t>წებოცემენტი / ყინვაგამძლე</t>
  </si>
  <si>
    <t>კერამიკული ფილა / ყინვაგამძლე</t>
  </si>
  <si>
    <t>ბლოკის კედლების ღებვა</t>
  </si>
  <si>
    <t>მობილური ჯალუზები</t>
  </si>
  <si>
    <t>კოლონების ღებვა</t>
  </si>
  <si>
    <t>თეთრი ფერის ალუმინის ჭერი</t>
  </si>
  <si>
    <t>ალუმინის ჭერი</t>
  </si>
  <si>
    <t>ქვეკონსტრუქცია</t>
  </si>
  <si>
    <t>ატრიუმების შეფუთვა ალუკაბონდით</t>
  </si>
  <si>
    <t>ალუკაბონდი</t>
  </si>
  <si>
    <t>ქვესტრუქტურა</t>
  </si>
  <si>
    <t>MDF-ს კარი 750/2200 მმ</t>
  </si>
  <si>
    <t>MDF-ს კარი 800/2200 მმ</t>
  </si>
  <si>
    <t>MDF-ს კარი 1000/2200 მმ</t>
  </si>
  <si>
    <t>MDF-ს კარი 1100/2200 მმ</t>
  </si>
  <si>
    <t>MDF-ს კარი 1500/2200 მმ</t>
  </si>
  <si>
    <t>ლითონის საევაკუაციო კარი</t>
  </si>
  <si>
    <t>push bar</t>
  </si>
  <si>
    <t>ლითონის საევაკუაციო კარი 1000/2200</t>
  </si>
  <si>
    <t>ლითონის საევაკუაციო კარი 1500/2200</t>
  </si>
  <si>
    <t>ავტომატური გასასრიალებელი კარი 1600/2200</t>
  </si>
  <si>
    <t>კ-1</t>
  </si>
  <si>
    <t>კ-2</t>
  </si>
  <si>
    <t>კ-4</t>
  </si>
  <si>
    <t>კ-5</t>
  </si>
  <si>
    <t>კ-3</t>
  </si>
  <si>
    <t>რკ-1</t>
  </si>
  <si>
    <t>რკ-2</t>
  </si>
  <si>
    <t>სლ.კ.-1</t>
  </si>
  <si>
    <t>ავტომატური ლითნის ჟალუზი</t>
  </si>
  <si>
    <t>ჟალუზი 5000/2500</t>
  </si>
  <si>
    <t>ჟალუზი 7900/2500</t>
  </si>
  <si>
    <t>ჟალუზი 4500/2500</t>
  </si>
  <si>
    <t>ჟალუზი 5200/2500</t>
  </si>
  <si>
    <t>ლ.ჟ.კ.-1</t>
  </si>
  <si>
    <t>ლ.ჟ.კ.-4</t>
  </si>
  <si>
    <t>ლ.ჟ.კ.-3</t>
  </si>
  <si>
    <t>ლ.ჟ.კ.-2</t>
  </si>
  <si>
    <t>ს.კ.-1</t>
  </si>
  <si>
    <t>ავტომატური გასასრიალებელი კარი 1000/2200</t>
  </si>
  <si>
    <t>გასასრიალებელი კარი</t>
  </si>
  <si>
    <t>თაბაშირმუყაოს ღებვა / სან. კვანძები</t>
  </si>
  <si>
    <t>ტრაბსპორტირების თანხა</t>
  </si>
  <si>
    <t>2</t>
  </si>
  <si>
    <t>მიწის ექსკავაცია</t>
  </si>
  <si>
    <t>მიწის უკუჩაყრა</t>
  </si>
  <si>
    <t>რ/ბ საყრდენი კედლის ინსტალაცია ღობისთვის</t>
  </si>
  <si>
    <t>ბეტონი B20</t>
  </si>
  <si>
    <t>ფანერა</t>
  </si>
  <si>
    <t>ორტესები კოჭი</t>
  </si>
  <si>
    <t>ელექტროდი</t>
  </si>
  <si>
    <t>ფოლადის ხამუტი</t>
  </si>
  <si>
    <t>არმატურა კლასი A I</t>
  </si>
  <si>
    <t>სხვა დამხმარე მასალა</t>
  </si>
  <si>
    <t>ღორღი</t>
  </si>
  <si>
    <t>ბალახის საფარი</t>
  </si>
  <si>
    <t xml:space="preserve">მიწა </t>
  </si>
  <si>
    <t>სხვა</t>
  </si>
  <si>
    <t>ბორდიური</t>
  </si>
  <si>
    <t>შლაგბაუმი</t>
  </si>
  <si>
    <t>ნაგვის ყუთები</t>
  </si>
  <si>
    <t>საკანალიზაციო ჭის ლუქი</t>
  </si>
  <si>
    <t>გაუთვალისწინებელი ხარჯები:</t>
  </si>
  <si>
    <t>გარე კეთილმოწყობა</t>
  </si>
  <si>
    <t>მარკირება / ღებვა</t>
  </si>
  <si>
    <t>3 - თეთრი კარკასი პარკინგი</t>
  </si>
  <si>
    <t>ლამინატის ტიხრები სან.კვანძებში</t>
  </si>
  <si>
    <t>ლამინატი</t>
  </si>
  <si>
    <t>კვარცით მოპრიალება</t>
  </si>
  <si>
    <t>დონე +14.98 (+4 სართული)</t>
  </si>
  <si>
    <t>ლიფტების კარის შეფუთვა პანელებით</t>
  </si>
  <si>
    <t xml:space="preserve">პანელები </t>
  </si>
  <si>
    <t>ჟალუზები 2500/3000 მმ</t>
  </si>
  <si>
    <t xml:space="preserve">ჭერებისა, კედლების და კიბის უჯრედების ქვედა მხარის მოსამზადებელი და სამღებრო სამუშაოები </t>
  </si>
  <si>
    <t>კიბის უჯრედი  #4</t>
  </si>
  <si>
    <t>მინის მოაჯირი</t>
  </si>
  <si>
    <t>მინის მოაჯირი ალუმინის ჩარჩოთ</t>
  </si>
  <si>
    <t>სპაიდერი</t>
  </si>
  <si>
    <t>კიბის გვერდების შეღებვა</t>
  </si>
  <si>
    <t>კიბის უჯრედი  #8</t>
  </si>
  <si>
    <t>კიბის უჯრედი  #6</t>
  </si>
  <si>
    <t>კიბის უჯრედი  #7</t>
  </si>
  <si>
    <t>წებო ცემენტი</t>
  </si>
  <si>
    <t>ოფისები</t>
  </si>
  <si>
    <t>12 - გარე კეთილმოწყობა</t>
  </si>
  <si>
    <t xml:space="preserve">11 - კარები </t>
  </si>
  <si>
    <t>10 - ფასადი</t>
  </si>
  <si>
    <t>9-კიბის უჯრედი</t>
  </si>
  <si>
    <t>კერამიკული ფილები / კორიდორი</t>
  </si>
  <si>
    <t xml:space="preserve">თაბაშირმუყაოს ღებვა </t>
  </si>
  <si>
    <t>თაბაშირმუყაოს ღებვა / სან. კვანძები და კორიდორი</t>
  </si>
  <si>
    <t>ლითონის ცხაური</t>
  </si>
  <si>
    <t>ღობის მოწყობა</t>
  </si>
  <si>
    <t>ხეები</t>
  </si>
  <si>
    <t>სადრენაო არხი / ცხაური</t>
  </si>
  <si>
    <t>კიბის მოწყობა (შესასვლელი)</t>
  </si>
  <si>
    <t>ქვაფენილი ბალახის</t>
  </si>
  <si>
    <t>ქვაფენილი 48/32/6 სმ</t>
  </si>
  <si>
    <t>დრენაჟი</t>
  </si>
  <si>
    <t xml:space="preserve">დეკორატიული პანელები </t>
  </si>
  <si>
    <t>ლაზერიტ ამოჭრილი პანელები</t>
  </si>
  <si>
    <t>გრანიტი კურსები</t>
  </si>
  <si>
    <t>გრანიტით მოპირკეთება</t>
  </si>
  <si>
    <t>ბადე</t>
  </si>
  <si>
    <t>შესასვლელშ კანოპის მოწყობა</t>
  </si>
  <si>
    <t>წარწერის დამზადება / დამონტაჟება</t>
  </si>
  <si>
    <t>სარეკლამო ბანერი</t>
  </si>
  <si>
    <t>ფასადის ღებვა</t>
  </si>
  <si>
    <t>ჯამი</t>
  </si>
  <si>
    <t>კიბის უჯრედი  #9</t>
  </si>
  <si>
    <t>კურსი 17.01.2018</t>
  </si>
  <si>
    <t>დონე-6.06 (-2 სართული)</t>
  </si>
  <si>
    <t>დონე -3.08 (-1 სართული)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</si>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</sst>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GEL&quot;* #,##0.00_);_(&quot;GEL&quot;* \(#,##0.00\);_(&quot;GEL&quot;* &quot;-&quot;??_);_(@_)"/>
    <numFmt numFmtId="166" formatCode="0.0"/>
    <numFmt numFmtId="167" formatCode="_([$$-409]* #,##0.00_);_([$$-409]* \(#,##0.00\);_([$$-409]* &quot;-&quot;??_);_(@_)"/>
    <numFmt numFmtId="168" formatCode="_(* #,##0.0000_);_(* \(#,##0.0000\);_(* &quot;-&quot;??_);_(@_)"/>
    <numFmt numFmtId="169" formatCode="0.000"/>
    <numFmt numFmtId="170" formatCode="_-* #,##0.00\ _L_a_r_i_-;\-* #,##0.00\ _L_a_r_i_-;_-* &quot;-&quot;??\ _L_a_r_i_-;_-@_-"/>
    <numFmt numFmtId="171" formatCode="_(* #,##0.000_);_(* \(#,##0.000\);_(* &quot;-&quot;??_);_(@_)"/>
    <numFmt numFmtId="172" formatCode="_([$$-409]* #,##0.000_);_([$$-409]* \(#,##0.000\);_([$$-409]* &quot;-&quot;??_);_(@_)"/>
    <numFmt numFmtId="173" formatCode="#,##0.00\ [$Lari-437]"/>
    <numFmt numFmtId="174" formatCode="_-* #,##0.00_р_._-;\-* #,##0.00_р_._-;_-* &quot;-&quot;??_р_._-;_-@_-"/>
    <numFmt numFmtId="175" formatCode="_-[$$-409]* #,##0.00_ ;_-[$$-409]* \-#,##0.00\ ;_-[$$-409]* &quot;-&quot;??_ ;_-@_ "/>
    <numFmt numFmtId="176" formatCode="0.0000"/>
  </numFmts>
  <fonts count="43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8"/>
      <color theme="1"/>
      <name val="Calibri"/>
      <family val="2"/>
      <scheme val="minor"/>
    </font>
    <font>
      <b/>
      <sz val="12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8"/>
      <color rgb="FFFF0000"/>
      <name val="Arial"/>
      <family val="2"/>
    </font>
    <font>
      <sz val="18"/>
      <name val="Arial"/>
      <family val="2"/>
    </font>
    <font>
      <b/>
      <u val="single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4"/>
      <name val="Arial"/>
      <family val="2"/>
    </font>
    <font>
      <sz val="12"/>
      <name val="Arial"/>
      <family val="2"/>
    </font>
    <font>
      <sz val="12"/>
      <name val="AcadNusx"/>
      <family val="2"/>
    </font>
    <font>
      <sz val="9"/>
      <name val="Tahoma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u val="single"/>
      <sz val="12"/>
      <color rgb="FFFF0000"/>
      <name val="Arial"/>
      <family val="2"/>
    </font>
    <font>
      <sz val="10"/>
      <name val="AcadNusx"/>
      <family val="2"/>
    </font>
    <font>
      <sz val="12"/>
      <color indexed="10"/>
      <name val="არიალ"/>
      <family val="2"/>
    </font>
    <font>
      <sz val="12"/>
      <name val="არიალ"/>
      <family val="2"/>
    </font>
    <font>
      <sz val="18"/>
      <name val="Calibri"/>
      <family val="2"/>
      <scheme val="minor"/>
    </font>
    <font>
      <sz val="8"/>
      <name val="Menlo Regular"/>
      <family val="2"/>
    </font>
    <font>
      <u val="single"/>
      <sz val="12"/>
      <name val="Arial"/>
      <family val="2"/>
    </font>
    <font>
      <sz val="14"/>
      <name val="Arial"/>
      <family val="2"/>
    </font>
    <font>
      <sz val="10"/>
      <name val="Arial Cyr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name val="Arial CE"/>
      <family val="2"/>
    </font>
    <font>
      <sz val="10"/>
      <name val="Helv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</borders>
  <cellStyleXfs count="13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0" fillId="0" borderId="0">
      <alignment/>
      <protection/>
    </xf>
    <xf numFmtId="17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9" fontId="38" fillId="0" borderId="0" applyFont="0" applyFill="0" applyBorder="0" applyAlignment="0" applyProtection="0"/>
    <xf numFmtId="0" fontId="39" fillId="0" borderId="0">
      <alignment/>
      <protection/>
    </xf>
    <xf numFmtId="168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7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871">
    <xf numFmtId="0" fontId="0" fillId="0" borderId="0" xfId="0"/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2" fontId="4" fillId="2" borderId="7" xfId="0" applyNumberFormat="1" applyFont="1" applyFill="1" applyBorder="1" applyAlignment="1">
      <alignment horizontal="right" vertical="center"/>
    </xf>
    <xf numFmtId="9" fontId="4" fillId="2" borderId="7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10" fontId="4" fillId="2" borderId="3" xfId="0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right" vertical="center" wrapText="1"/>
    </xf>
    <xf numFmtId="2" fontId="6" fillId="3" borderId="0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horizontal="right" vertical="center" wrapText="1"/>
    </xf>
    <xf numFmtId="10" fontId="4" fillId="3" borderId="0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wrapText="1"/>
    </xf>
    <xf numFmtId="2" fontId="6" fillId="2" borderId="7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166" fontId="6" fillId="4" borderId="9" xfId="0" applyNumberFormat="1" applyFont="1" applyFill="1" applyBorder="1" applyAlignment="1">
      <alignment vertical="center" wrapText="1"/>
    </xf>
    <xf numFmtId="43" fontId="4" fillId="4" borderId="10" xfId="18" applyFont="1" applyFill="1" applyBorder="1" applyAlignment="1">
      <alignment horizontal="center" vertical="center" wrapText="1"/>
    </xf>
    <xf numFmtId="43" fontId="6" fillId="4" borderId="10" xfId="18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43" fontId="0" fillId="0" borderId="0" xfId="18" applyFont="1"/>
    <xf numFmtId="43" fontId="0" fillId="0" borderId="0" xfId="0" applyNumberFormat="1"/>
    <xf numFmtId="167" fontId="0" fillId="0" borderId="0" xfId="0" applyNumberFormat="1"/>
    <xf numFmtId="0" fontId="17" fillId="0" borderId="0" xfId="0" applyFont="1"/>
    <xf numFmtId="0" fontId="2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3" fillId="2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3" fontId="6" fillId="2" borderId="0" xfId="18" applyFont="1" applyFill="1" applyBorder="1" applyAlignment="1">
      <alignment horizontal="center" vertical="center" wrapText="1"/>
    </xf>
    <xf numFmtId="165" fontId="6" fillId="2" borderId="0" xfId="16" applyFont="1" applyFill="1" applyBorder="1" applyAlignment="1">
      <alignment horizontal="right" vertical="center" wrapText="1"/>
    </xf>
    <xf numFmtId="167" fontId="6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25" fillId="2" borderId="0" xfId="0" applyFont="1" applyFill="1" applyAlignment="1">
      <alignment vertical="center" wrapText="1"/>
    </xf>
    <xf numFmtId="0" fontId="26" fillId="0" borderId="0" xfId="0" applyNumberFormat="1" applyFont="1"/>
    <xf numFmtId="169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165" fontId="1" fillId="0" borderId="0" xfId="16" applyFont="1" applyAlignment="1">
      <alignment vertical="center"/>
    </xf>
    <xf numFmtId="2" fontId="26" fillId="0" borderId="0" xfId="0" applyNumberFormat="1" applyFont="1" applyBorder="1" applyAlignment="1">
      <alignment horizontal="center" vertical="top" wrapText="1"/>
    </xf>
    <xf numFmtId="0" fontId="26" fillId="0" borderId="0" xfId="0" applyNumberFormat="1" applyFont="1" applyBorder="1"/>
    <xf numFmtId="0" fontId="0" fillId="0" borderId="0" xfId="0" applyAlignment="1">
      <alignment wrapText="1"/>
    </xf>
    <xf numFmtId="169" fontId="0" fillId="0" borderId="0" xfId="0" applyNumberFormat="1" applyBorder="1" applyAlignment="1">
      <alignment wrapText="1"/>
    </xf>
    <xf numFmtId="43" fontId="20" fillId="0" borderId="10" xfId="18" applyFont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2" fontId="6" fillId="2" borderId="5" xfId="0" applyNumberFormat="1" applyFont="1" applyFill="1" applyBorder="1" applyAlignment="1">
      <alignment horizontal="right" vertical="center"/>
    </xf>
    <xf numFmtId="9" fontId="4" fillId="2" borderId="5" xfId="0" applyNumberFormat="1" applyFont="1" applyFill="1" applyBorder="1" applyAlignment="1">
      <alignment vertical="center" wrapText="1"/>
    </xf>
    <xf numFmtId="43" fontId="6" fillId="3" borderId="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6" fillId="3" borderId="0" xfId="0" applyNumberFormat="1" applyFont="1" applyFill="1" applyBorder="1" applyAlignment="1">
      <alignment vertical="center"/>
    </xf>
    <xf numFmtId="43" fontId="4" fillId="4" borderId="16" xfId="18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3" fontId="6" fillId="4" borderId="17" xfId="18" applyFont="1" applyFill="1" applyBorder="1" applyAlignment="1">
      <alignment horizontal="center" vertical="center" wrapText="1"/>
    </xf>
    <xf numFmtId="43" fontId="4" fillId="2" borderId="18" xfId="18" applyFont="1" applyFill="1" applyBorder="1" applyAlignment="1">
      <alignment horizontal="center" vertical="center" wrapText="1"/>
    </xf>
    <xf numFmtId="43" fontId="6" fillId="2" borderId="0" xfId="0" applyNumberFormat="1" applyFont="1" applyFill="1" applyAlignment="1">
      <alignment vertical="center" wrapText="1"/>
    </xf>
    <xf numFmtId="167" fontId="6" fillId="2" borderId="13" xfId="16" applyNumberFormat="1" applyFont="1" applyFill="1" applyBorder="1" applyAlignment="1">
      <alignment vertical="center" wrapText="1"/>
    </xf>
    <xf numFmtId="167" fontId="6" fillId="3" borderId="15" xfId="18" applyNumberFormat="1" applyFont="1" applyFill="1" applyBorder="1" applyAlignment="1">
      <alignment vertical="center"/>
    </xf>
    <xf numFmtId="167" fontId="6" fillId="3" borderId="15" xfId="18" applyNumberFormat="1" applyFont="1" applyFill="1" applyBorder="1" applyAlignment="1">
      <alignment vertical="center" wrapText="1"/>
    </xf>
    <xf numFmtId="167" fontId="6" fillId="2" borderId="20" xfId="18" applyNumberFormat="1" applyFont="1" applyFill="1" applyBorder="1" applyAlignment="1">
      <alignment horizontal="right" vertical="center" wrapText="1"/>
    </xf>
    <xf numFmtId="167" fontId="4" fillId="2" borderId="21" xfId="16" applyNumberFormat="1" applyFont="1" applyFill="1" applyBorder="1" applyAlignment="1">
      <alignment horizontal="right" vertical="center" wrapText="1"/>
    </xf>
    <xf numFmtId="167" fontId="6" fillId="3" borderId="15" xfId="16" applyNumberFormat="1" applyFont="1" applyFill="1" applyBorder="1" applyAlignment="1">
      <alignment horizontal="right" vertical="center" wrapText="1"/>
    </xf>
    <xf numFmtId="167" fontId="4" fillId="2" borderId="20" xfId="18" applyNumberFormat="1" applyFont="1" applyFill="1" applyBorder="1" applyAlignment="1">
      <alignment horizontal="right" vertical="center" wrapText="1"/>
    </xf>
    <xf numFmtId="167" fontId="6" fillId="2" borderId="21" xfId="16" applyNumberFormat="1" applyFont="1" applyFill="1" applyBorder="1" applyAlignment="1">
      <alignment horizontal="right" vertical="center" wrapText="1"/>
    </xf>
    <xf numFmtId="167" fontId="4" fillId="2" borderId="3" xfId="16" applyNumberFormat="1" applyFont="1" applyFill="1" applyBorder="1" applyAlignment="1">
      <alignment horizontal="right" vertical="center" wrapText="1"/>
    </xf>
    <xf numFmtId="167" fontId="4" fillId="2" borderId="0" xfId="16" applyNumberFormat="1" applyFont="1" applyFill="1" applyAlignment="1">
      <alignment vertical="center" wrapText="1"/>
    </xf>
    <xf numFmtId="167" fontId="9" fillId="2" borderId="0" xfId="16" applyNumberFormat="1" applyFont="1" applyFill="1" applyAlignment="1">
      <alignment horizontal="left" vertical="center" wrapText="1"/>
    </xf>
    <xf numFmtId="167" fontId="6" fillId="2" borderId="0" xfId="16" applyNumberFormat="1" applyFont="1" applyFill="1" applyAlignment="1">
      <alignment horizontal="left" vertical="center" wrapText="1"/>
    </xf>
    <xf numFmtId="167" fontId="4" fillId="2" borderId="0" xfId="16" applyNumberFormat="1" applyFont="1" applyFill="1" applyAlignment="1">
      <alignment horizontal="center" vertical="center" wrapText="1"/>
    </xf>
    <xf numFmtId="167" fontId="4" fillId="2" borderId="0" xfId="16" applyNumberFormat="1" applyFont="1" applyFill="1" applyAlignment="1">
      <alignment vertical="center"/>
    </xf>
    <xf numFmtId="167" fontId="7" fillId="5" borderId="11" xfId="16" applyNumberFormat="1" applyFont="1" applyFill="1" applyBorder="1" applyAlignment="1">
      <alignment horizontal="center" vertical="center" wrapText="1"/>
    </xf>
    <xf numFmtId="167" fontId="8" fillId="0" borderId="7" xfId="16" applyNumberFormat="1" applyFont="1" applyBorder="1" applyAlignment="1">
      <alignment horizontal="left" vertical="center"/>
    </xf>
    <xf numFmtId="167" fontId="4" fillId="2" borderId="22" xfId="16" applyNumberFormat="1" applyFont="1" applyFill="1" applyBorder="1" applyAlignment="1">
      <alignment horizontal="center" vertical="center" wrapText="1"/>
    </xf>
    <xf numFmtId="167" fontId="4" fillId="3" borderId="6" xfId="16" applyNumberFormat="1" applyFont="1" applyFill="1" applyBorder="1" applyAlignment="1">
      <alignment vertical="center"/>
    </xf>
    <xf numFmtId="167" fontId="4" fillId="2" borderId="4" xfId="16" applyNumberFormat="1" applyFont="1" applyFill="1" applyBorder="1" applyAlignment="1">
      <alignment vertical="center" wrapText="1"/>
    </xf>
    <xf numFmtId="167" fontId="4" fillId="3" borderId="8" xfId="16" applyNumberFormat="1" applyFont="1" applyFill="1" applyBorder="1" applyAlignment="1">
      <alignment vertical="center"/>
    </xf>
    <xf numFmtId="167" fontId="4" fillId="3" borderId="8" xfId="16" applyNumberFormat="1" applyFont="1" applyFill="1" applyBorder="1" applyAlignment="1">
      <alignment vertical="center" wrapText="1"/>
    </xf>
    <xf numFmtId="167" fontId="4" fillId="2" borderId="6" xfId="16" applyNumberFormat="1" applyFont="1" applyFill="1" applyBorder="1" applyAlignment="1">
      <alignment vertical="center" wrapText="1"/>
    </xf>
    <xf numFmtId="167" fontId="4" fillId="2" borderId="2" xfId="16" applyNumberFormat="1" applyFont="1" applyFill="1" applyBorder="1" applyAlignment="1">
      <alignment horizontal="right" vertical="center" wrapText="1"/>
    </xf>
    <xf numFmtId="167" fontId="4" fillId="3" borderId="8" xfId="16" applyNumberFormat="1" applyFont="1" applyFill="1" applyBorder="1" applyAlignment="1">
      <alignment horizontal="right" vertical="center" wrapText="1"/>
    </xf>
    <xf numFmtId="167" fontId="4" fillId="2" borderId="6" xfId="16" applyNumberFormat="1" applyFont="1" applyFill="1" applyBorder="1" applyAlignment="1">
      <alignment horizontal="right" vertical="center" wrapText="1"/>
    </xf>
    <xf numFmtId="167" fontId="4" fillId="2" borderId="0" xfId="16" applyNumberFormat="1" applyFont="1" applyFill="1" applyBorder="1" applyAlignment="1">
      <alignment horizontal="right" vertical="center" wrapText="1"/>
    </xf>
    <xf numFmtId="167" fontId="4" fillId="2" borderId="0" xfId="16" applyNumberFormat="1" applyFont="1" applyFill="1" applyBorder="1" applyAlignment="1">
      <alignment vertical="center" wrapText="1"/>
    </xf>
    <xf numFmtId="167" fontId="4" fillId="3" borderId="7" xfId="16" applyNumberFormat="1" applyFont="1" applyFill="1" applyBorder="1" applyAlignment="1">
      <alignment vertical="center"/>
    </xf>
    <xf numFmtId="167" fontId="4" fillId="2" borderId="0" xfId="0" applyNumberFormat="1" applyFont="1" applyFill="1" applyAlignment="1">
      <alignment vertical="center" wrapText="1"/>
    </xf>
    <xf numFmtId="167" fontId="4" fillId="2" borderId="0" xfId="0" applyNumberFormat="1" applyFont="1" applyFill="1" applyBorder="1" applyAlignment="1">
      <alignment vertical="center" wrapText="1"/>
    </xf>
    <xf numFmtId="167" fontId="4" fillId="2" borderId="0" xfId="0" applyNumberFormat="1" applyFont="1" applyFill="1" applyAlignment="1">
      <alignment vertical="center"/>
    </xf>
    <xf numFmtId="167" fontId="7" fillId="5" borderId="13" xfId="0" applyNumberFormat="1" applyFont="1" applyFill="1" applyBorder="1" applyAlignment="1">
      <alignment horizontal="center" vertical="center" wrapText="1"/>
    </xf>
    <xf numFmtId="167" fontId="6" fillId="4" borderId="17" xfId="18" applyNumberFormat="1" applyFont="1" applyFill="1" applyBorder="1" applyAlignment="1">
      <alignment vertical="center" wrapText="1"/>
    </xf>
    <xf numFmtId="167" fontId="6" fillId="2" borderId="18" xfId="18" applyNumberFormat="1" applyFont="1" applyFill="1" applyBorder="1" applyAlignment="1">
      <alignment vertical="center" wrapText="1"/>
    </xf>
    <xf numFmtId="167" fontId="6" fillId="2" borderId="23" xfId="18" applyNumberFormat="1" applyFont="1" applyFill="1" applyBorder="1" applyAlignment="1">
      <alignment vertical="center" wrapText="1"/>
    </xf>
    <xf numFmtId="167" fontId="6" fillId="3" borderId="20" xfId="0" applyNumberFormat="1" applyFont="1" applyFill="1" applyBorder="1" applyAlignment="1">
      <alignment vertical="center"/>
    </xf>
    <xf numFmtId="167" fontId="4" fillId="2" borderId="0" xfId="0" applyNumberFormat="1" applyFont="1" applyFill="1" applyBorder="1" applyAlignment="1">
      <alignment horizontal="right" vertical="center" wrapText="1"/>
    </xf>
    <xf numFmtId="167" fontId="6" fillId="2" borderId="0" xfId="0" applyNumberFormat="1" applyFont="1" applyFill="1" applyAlignment="1">
      <alignment vertical="center" wrapText="1"/>
    </xf>
    <xf numFmtId="167" fontId="6" fillId="2" borderId="0" xfId="0" applyNumberFormat="1" applyFont="1" applyFill="1" applyAlignment="1">
      <alignment vertical="center"/>
    </xf>
    <xf numFmtId="167" fontId="6" fillId="4" borderId="24" xfId="0" applyNumberFormat="1" applyFont="1" applyFill="1" applyBorder="1" applyAlignment="1">
      <alignment vertical="center" wrapText="1"/>
    </xf>
    <xf numFmtId="167" fontId="6" fillId="2" borderId="25" xfId="0" applyNumberFormat="1" applyFont="1" applyFill="1" applyBorder="1" applyAlignment="1">
      <alignment vertical="center" wrapText="1"/>
    </xf>
    <xf numFmtId="167" fontId="4" fillId="2" borderId="25" xfId="0" applyNumberFormat="1" applyFont="1" applyFill="1" applyBorder="1" applyAlignment="1">
      <alignment vertical="center"/>
    </xf>
    <xf numFmtId="167" fontId="4" fillId="2" borderId="23" xfId="0" applyNumberFormat="1" applyFont="1" applyFill="1" applyBorder="1" applyAlignment="1">
      <alignment vertical="center"/>
    </xf>
    <xf numFmtId="167" fontId="6" fillId="2" borderId="23" xfId="0" applyNumberFormat="1" applyFont="1" applyFill="1" applyBorder="1" applyAlignment="1">
      <alignment vertical="center" wrapText="1"/>
    </xf>
    <xf numFmtId="167" fontId="4" fillId="2" borderId="0" xfId="18" applyNumberFormat="1" applyFont="1" applyFill="1" applyBorder="1" applyAlignment="1">
      <alignment horizontal="right" vertical="center" wrapText="1"/>
    </xf>
    <xf numFmtId="167" fontId="4" fillId="2" borderId="0" xfId="18" applyNumberFormat="1" applyFont="1" applyFill="1" applyBorder="1" applyAlignment="1">
      <alignment vertical="center" wrapText="1"/>
    </xf>
    <xf numFmtId="167" fontId="4" fillId="2" borderId="0" xfId="18" applyNumberFormat="1" applyFont="1" applyFill="1" applyAlignment="1">
      <alignment vertical="center"/>
    </xf>
    <xf numFmtId="167" fontId="6" fillId="2" borderId="0" xfId="0" applyNumberFormat="1" applyFont="1" applyFill="1" applyBorder="1" applyAlignment="1">
      <alignment horizontal="right" vertical="center" wrapText="1"/>
    </xf>
    <xf numFmtId="167" fontId="9" fillId="2" borderId="0" xfId="0" applyNumberFormat="1" applyFont="1" applyFill="1" applyAlignment="1">
      <alignment horizontal="left" vertical="center" wrapText="1"/>
    </xf>
    <xf numFmtId="167" fontId="6" fillId="2" borderId="0" xfId="0" applyNumberFormat="1" applyFont="1" applyFill="1" applyAlignment="1">
      <alignment horizontal="left" vertical="center" wrapText="1"/>
    </xf>
    <xf numFmtId="167" fontId="4" fillId="2" borderId="0" xfId="0" applyNumberFormat="1" applyFont="1" applyFill="1" applyAlignment="1">
      <alignment horizontal="center" vertical="center" wrapText="1"/>
    </xf>
    <xf numFmtId="167" fontId="4" fillId="3" borderId="8" xfId="0" applyNumberFormat="1" applyFont="1" applyFill="1" applyBorder="1" applyAlignment="1">
      <alignment vertical="center"/>
    </xf>
    <xf numFmtId="167" fontId="4" fillId="2" borderId="4" xfId="0" applyNumberFormat="1" applyFont="1" applyFill="1" applyBorder="1" applyAlignment="1">
      <alignment vertical="center" wrapText="1"/>
    </xf>
    <xf numFmtId="167" fontId="4" fillId="3" borderId="8" xfId="0" applyNumberFormat="1" applyFont="1" applyFill="1" applyBorder="1" applyAlignment="1">
      <alignment vertical="center" wrapText="1"/>
    </xf>
    <xf numFmtId="167" fontId="4" fillId="2" borderId="6" xfId="0" applyNumberFormat="1" applyFont="1" applyFill="1" applyBorder="1" applyAlignment="1">
      <alignment vertical="center" wrapText="1"/>
    </xf>
    <xf numFmtId="167" fontId="4" fillId="2" borderId="2" xfId="0" applyNumberFormat="1" applyFont="1" applyFill="1" applyBorder="1" applyAlignment="1">
      <alignment horizontal="right" vertical="center" wrapText="1"/>
    </xf>
    <xf numFmtId="167" fontId="4" fillId="3" borderId="8" xfId="0" applyNumberFormat="1" applyFont="1" applyFill="1" applyBorder="1" applyAlignment="1">
      <alignment horizontal="right" vertical="center" wrapText="1"/>
    </xf>
    <xf numFmtId="167" fontId="4" fillId="2" borderId="6" xfId="0" applyNumberFormat="1" applyFont="1" applyFill="1" applyBorder="1" applyAlignment="1">
      <alignment horizontal="right" vertical="center" wrapText="1"/>
    </xf>
    <xf numFmtId="167" fontId="4" fillId="3" borderId="0" xfId="0" applyNumberFormat="1" applyFont="1" applyFill="1" applyBorder="1" applyAlignment="1">
      <alignment vertical="center"/>
    </xf>
    <xf numFmtId="167" fontId="4" fillId="2" borderId="3" xfId="0" applyNumberFormat="1" applyFont="1" applyFill="1" applyBorder="1" applyAlignment="1">
      <alignment horizontal="right" vertical="center" wrapText="1"/>
    </xf>
    <xf numFmtId="167" fontId="6" fillId="2" borderId="0" xfId="0" applyNumberFormat="1" applyFont="1" applyFill="1" applyAlignment="1">
      <alignment horizontal="center" vertical="center" wrapText="1"/>
    </xf>
    <xf numFmtId="167" fontId="6" fillId="3" borderId="0" xfId="0" applyNumberFormat="1" applyFont="1" applyFill="1" applyBorder="1" applyAlignment="1">
      <alignment vertical="center"/>
    </xf>
    <xf numFmtId="167" fontId="6" fillId="2" borderId="5" xfId="0" applyNumberFormat="1" applyFont="1" applyFill="1" applyBorder="1" applyAlignment="1">
      <alignment vertical="center" wrapText="1"/>
    </xf>
    <xf numFmtId="167" fontId="6" fillId="3" borderId="0" xfId="0" applyNumberFormat="1" applyFont="1" applyFill="1" applyBorder="1" applyAlignment="1">
      <alignment vertical="center" wrapText="1"/>
    </xf>
    <xf numFmtId="167" fontId="6" fillId="2" borderId="7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Border="1" applyAlignment="1">
      <alignment horizontal="right" vertical="center" wrapText="1"/>
    </xf>
    <xf numFmtId="167" fontId="6" fillId="2" borderId="3" xfId="0" applyNumberFormat="1" applyFont="1" applyFill="1" applyBorder="1" applyAlignment="1">
      <alignment horizontal="right" vertical="center" wrapText="1"/>
    </xf>
    <xf numFmtId="167" fontId="6" fillId="2" borderId="0" xfId="18" applyNumberFormat="1" applyFont="1" applyFill="1" applyBorder="1" applyAlignment="1">
      <alignment horizontal="center" vertical="center" wrapText="1"/>
    </xf>
    <xf numFmtId="167" fontId="6" fillId="3" borderId="15" xfId="0" applyNumberFormat="1" applyFont="1" applyFill="1" applyBorder="1" applyAlignment="1">
      <alignment vertical="center"/>
    </xf>
    <xf numFmtId="167" fontId="30" fillId="2" borderId="3" xfId="0" applyNumberFormat="1" applyFont="1" applyFill="1" applyBorder="1" applyAlignment="1">
      <alignment horizontal="right" vertical="center" wrapText="1"/>
    </xf>
    <xf numFmtId="0" fontId="31" fillId="2" borderId="0" xfId="0" applyFont="1" applyFill="1" applyAlignment="1">
      <alignment vertical="center" wrapText="1"/>
    </xf>
    <xf numFmtId="0" fontId="0" fillId="2" borderId="0" xfId="0" applyFill="1"/>
    <xf numFmtId="165" fontId="4" fillId="4" borderId="14" xfId="16" applyFont="1" applyFill="1" applyBorder="1" applyAlignment="1">
      <alignment horizontal="center" vertical="center" wrapText="1"/>
    </xf>
    <xf numFmtId="165" fontId="4" fillId="2" borderId="0" xfId="16" applyFont="1" applyFill="1" applyAlignment="1">
      <alignment vertical="center" wrapText="1"/>
    </xf>
    <xf numFmtId="165" fontId="9" fillId="2" borderId="0" xfId="16" applyFont="1" applyFill="1" applyAlignment="1">
      <alignment horizontal="left" vertical="center" wrapText="1"/>
    </xf>
    <xf numFmtId="165" fontId="6" fillId="2" borderId="0" xfId="16" applyFont="1" applyFill="1" applyAlignment="1">
      <alignment horizontal="left" vertical="center" wrapText="1"/>
    </xf>
    <xf numFmtId="165" fontId="4" fillId="2" borderId="0" xfId="16" applyFont="1" applyFill="1" applyAlignment="1">
      <alignment horizontal="center" vertical="center" wrapText="1"/>
    </xf>
    <xf numFmtId="165" fontId="4" fillId="2" borderId="0" xfId="16" applyFont="1" applyFill="1" applyAlignment="1">
      <alignment vertical="center"/>
    </xf>
    <xf numFmtId="165" fontId="4" fillId="2" borderId="26" xfId="16" applyFont="1" applyFill="1" applyBorder="1" applyAlignment="1">
      <alignment horizontal="center" vertical="center" wrapText="1"/>
    </xf>
    <xf numFmtId="165" fontId="7" fillId="5" borderId="11" xfId="16" applyFont="1" applyFill="1" applyBorder="1" applyAlignment="1">
      <alignment horizontal="center" vertical="center" wrapText="1"/>
    </xf>
    <xf numFmtId="165" fontId="8" fillId="0" borderId="7" xfId="16" applyFont="1" applyBorder="1" applyAlignment="1">
      <alignment horizontal="left" vertical="center"/>
    </xf>
    <xf numFmtId="165" fontId="4" fillId="2" borderId="22" xfId="16" applyFont="1" applyFill="1" applyBorder="1" applyAlignment="1">
      <alignment horizontal="center" vertical="center" wrapText="1"/>
    </xf>
    <xf numFmtId="165" fontId="14" fillId="2" borderId="26" xfId="16" applyFont="1" applyFill="1" applyBorder="1" applyAlignment="1">
      <alignment horizontal="center" vertical="center" wrapText="1"/>
    </xf>
    <xf numFmtId="165" fontId="4" fillId="2" borderId="0" xfId="16" applyFont="1" applyFill="1" applyBorder="1" applyAlignment="1">
      <alignment horizontal="right" vertical="center" wrapText="1"/>
    </xf>
    <xf numFmtId="165" fontId="4" fillId="2" borderId="0" xfId="16" applyFont="1" applyFill="1" applyBorder="1" applyAlignment="1">
      <alignment vertical="center" wrapText="1"/>
    </xf>
    <xf numFmtId="165" fontId="7" fillId="5" borderId="5" xfId="16" applyFont="1" applyFill="1" applyBorder="1" applyAlignment="1">
      <alignment horizontal="center" vertical="center" wrapText="1"/>
    </xf>
    <xf numFmtId="165" fontId="29" fillId="0" borderId="7" xfId="16" applyFont="1" applyBorder="1" applyAlignment="1">
      <alignment horizontal="left" vertical="center"/>
    </xf>
    <xf numFmtId="49" fontId="7" fillId="5" borderId="20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/>
    </xf>
    <xf numFmtId="167" fontId="17" fillId="0" borderId="0" xfId="0" applyNumberFormat="1" applyFont="1"/>
    <xf numFmtId="0" fontId="6" fillId="0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3" fontId="27" fillId="0" borderId="27" xfId="18" applyFont="1" applyBorder="1" applyAlignment="1">
      <alignment horizontal="center" vertical="center" wrapText="1"/>
    </xf>
    <xf numFmtId="43" fontId="28" fillId="0" borderId="28" xfId="18" applyFont="1" applyBorder="1" applyAlignment="1">
      <alignment horizontal="center" vertical="top" wrapText="1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29" xfId="0" applyNumberFormat="1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NumberFormat="1" applyFont="1" applyBorder="1" applyAlignment="1">
      <alignment horizontal="left" vertical="top" wrapText="1"/>
    </xf>
    <xf numFmtId="0" fontId="20" fillId="0" borderId="17" xfId="0" applyNumberFormat="1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 vertical="top" wrapText="1"/>
    </xf>
    <xf numFmtId="49" fontId="21" fillId="0" borderId="31" xfId="0" applyNumberFormat="1" applyFont="1" applyBorder="1" applyAlignment="1">
      <alignment horizontal="center" vertical="top" wrapText="1"/>
    </xf>
    <xf numFmtId="0" fontId="6" fillId="2" borderId="20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43" fontId="4" fillId="2" borderId="19" xfId="18" applyFont="1" applyFill="1" applyBorder="1" applyAlignment="1">
      <alignment horizontal="right" vertical="center" wrapText="1"/>
    </xf>
    <xf numFmtId="167" fontId="6" fillId="2" borderId="18" xfId="18" applyNumberFormat="1" applyFont="1" applyFill="1" applyBorder="1" applyAlignment="1">
      <alignment horizontal="right" vertical="center" wrapText="1"/>
    </xf>
    <xf numFmtId="167" fontId="6" fillId="2" borderId="19" xfId="18" applyNumberFormat="1" applyFont="1" applyFill="1" applyBorder="1" applyAlignment="1">
      <alignment horizontal="right" vertical="center" wrapText="1"/>
    </xf>
    <xf numFmtId="167" fontId="6" fillId="2" borderId="31" xfId="18" applyNumberFormat="1" applyFont="1" applyFill="1" applyBorder="1" applyAlignment="1">
      <alignment horizontal="right" vertical="center" wrapText="1"/>
    </xf>
    <xf numFmtId="167" fontId="6" fillId="2" borderId="32" xfId="18" applyNumberFormat="1" applyFont="1" applyFill="1" applyBorder="1" applyAlignment="1">
      <alignment horizontal="right" vertical="center" wrapText="1"/>
    </xf>
    <xf numFmtId="167" fontId="4" fillId="2" borderId="18" xfId="18" applyNumberFormat="1" applyFont="1" applyFill="1" applyBorder="1" applyAlignment="1">
      <alignment horizontal="center" vertical="center" wrapText="1"/>
    </xf>
    <xf numFmtId="167" fontId="4" fillId="2" borderId="23" xfId="18" applyNumberFormat="1" applyFont="1" applyFill="1" applyBorder="1" applyAlignment="1">
      <alignment horizontal="center" vertical="center" wrapText="1"/>
    </xf>
    <xf numFmtId="167" fontId="4" fillId="2" borderId="19" xfId="18" applyNumberFormat="1" applyFont="1" applyFill="1" applyBorder="1" applyAlignment="1">
      <alignment horizontal="center" vertical="center" wrapText="1"/>
    </xf>
    <xf numFmtId="167" fontId="4" fillId="2" borderId="31" xfId="18" applyNumberFormat="1" applyFont="1" applyFill="1" applyBorder="1" applyAlignment="1">
      <alignment horizontal="center" vertical="center" wrapText="1"/>
    </xf>
    <xf numFmtId="167" fontId="4" fillId="2" borderId="19" xfId="16" applyNumberFormat="1" applyFont="1" applyFill="1" applyBorder="1" applyAlignment="1">
      <alignment horizontal="right" vertical="center" wrapText="1"/>
    </xf>
    <xf numFmtId="167" fontId="4" fillId="2" borderId="31" xfId="16" applyNumberFormat="1" applyFont="1" applyFill="1" applyBorder="1" applyAlignment="1">
      <alignment horizontal="right" vertical="center" wrapText="1"/>
    </xf>
    <xf numFmtId="166" fontId="4" fillId="2" borderId="18" xfId="0" applyNumberFormat="1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67" fontId="6" fillId="2" borderId="2" xfId="18" applyNumberFormat="1" applyFont="1" applyFill="1" applyBorder="1" applyAlignment="1">
      <alignment horizontal="right" vertical="center" wrapText="1"/>
    </xf>
    <xf numFmtId="43" fontId="6" fillId="3" borderId="15" xfId="1227" applyFont="1" applyFill="1" applyBorder="1" applyAlignment="1">
      <alignment vertical="center"/>
    </xf>
    <xf numFmtId="9" fontId="4" fillId="2" borderId="5" xfId="15" applyFont="1" applyFill="1" applyBorder="1" applyAlignment="1">
      <alignment vertical="center" wrapText="1"/>
    </xf>
    <xf numFmtId="9" fontId="4" fillId="3" borderId="0" xfId="15" applyFont="1" applyFill="1" applyBorder="1" applyAlignment="1">
      <alignment vertical="center"/>
    </xf>
    <xf numFmtId="9" fontId="4" fillId="3" borderId="0" xfId="15" applyFont="1" applyFill="1" applyBorder="1" applyAlignment="1">
      <alignment vertical="center" wrapText="1"/>
    </xf>
    <xf numFmtId="9" fontId="4" fillId="2" borderId="7" xfId="15" applyFont="1" applyFill="1" applyBorder="1" applyAlignment="1">
      <alignment horizontal="right" vertical="center" wrapText="1"/>
    </xf>
    <xf numFmtId="9" fontId="4" fillId="2" borderId="3" xfId="15" applyFont="1" applyFill="1" applyBorder="1" applyAlignment="1">
      <alignment horizontal="right" vertical="center" wrapText="1"/>
    </xf>
    <xf numFmtId="9" fontId="4" fillId="3" borderId="0" xfId="15" applyFont="1" applyFill="1" applyBorder="1" applyAlignment="1">
      <alignment horizontal="right" vertical="center" wrapText="1"/>
    </xf>
    <xf numFmtId="165" fontId="4" fillId="2" borderId="0" xfId="1226" applyFont="1" applyFill="1" applyAlignment="1">
      <alignment vertical="center" wrapText="1"/>
    </xf>
    <xf numFmtId="165" fontId="4" fillId="2" borderId="0" xfId="1226" applyFont="1" applyFill="1" applyAlignment="1">
      <alignment vertical="center"/>
    </xf>
    <xf numFmtId="165" fontId="6" fillId="2" borderId="0" xfId="1226" applyFont="1" applyFill="1" applyBorder="1" applyAlignment="1">
      <alignment horizontal="right" vertical="center" wrapText="1"/>
    </xf>
    <xf numFmtId="43" fontId="6" fillId="2" borderId="0" xfId="1227" applyFont="1" applyFill="1" applyBorder="1" applyAlignment="1">
      <alignment horizontal="center" vertical="center" wrapText="1"/>
    </xf>
    <xf numFmtId="165" fontId="4" fillId="2" borderId="0" xfId="1226" applyFont="1" applyFill="1" applyAlignment="1">
      <alignment horizontal="center" vertical="center" wrapText="1"/>
    </xf>
    <xf numFmtId="165" fontId="7" fillId="5" borderId="11" xfId="1226" applyFont="1" applyFill="1" applyBorder="1" applyAlignment="1">
      <alignment horizontal="center" vertical="center" wrapText="1"/>
    </xf>
    <xf numFmtId="165" fontId="7" fillId="5" borderId="33" xfId="1226" applyFont="1" applyFill="1" applyBorder="1" applyAlignment="1">
      <alignment horizontal="center" vertical="center" wrapText="1"/>
    </xf>
    <xf numFmtId="43" fontId="4" fillId="4" borderId="34" xfId="1227" applyFont="1" applyFill="1" applyBorder="1" applyAlignment="1">
      <alignment horizontal="center" vertical="center" wrapText="1"/>
    </xf>
    <xf numFmtId="165" fontId="4" fillId="4" borderId="14" xfId="1226" applyFont="1" applyFill="1" applyBorder="1" applyAlignment="1">
      <alignment horizontal="center" vertical="center" wrapText="1"/>
    </xf>
    <xf numFmtId="165" fontId="4" fillId="4" borderId="17" xfId="1226" applyFont="1" applyFill="1" applyBorder="1" applyAlignment="1">
      <alignment horizontal="center" vertical="center" wrapText="1"/>
    </xf>
    <xf numFmtId="165" fontId="4" fillId="2" borderId="22" xfId="1226" applyFont="1" applyFill="1" applyBorder="1" applyAlignment="1">
      <alignment horizontal="center" vertical="center" wrapText="1"/>
    </xf>
    <xf numFmtId="165" fontId="4" fillId="2" borderId="18" xfId="1226" applyFont="1" applyFill="1" applyBorder="1" applyAlignment="1">
      <alignment horizontal="center" vertical="center" wrapText="1"/>
    </xf>
    <xf numFmtId="165" fontId="4" fillId="0" borderId="0" xfId="1226" applyFont="1" applyFill="1" applyBorder="1" applyAlignment="1">
      <alignment vertical="center"/>
    </xf>
    <xf numFmtId="167" fontId="6" fillId="2" borderId="13" xfId="1226" applyNumberFormat="1" applyFont="1" applyFill="1" applyBorder="1" applyAlignment="1">
      <alignment vertical="center" wrapText="1"/>
    </xf>
    <xf numFmtId="165" fontId="0" fillId="0" borderId="0" xfId="1226" applyFont="1" applyBorder="1"/>
    <xf numFmtId="165" fontId="0" fillId="0" borderId="0" xfId="1226" applyFont="1"/>
    <xf numFmtId="43" fontId="6" fillId="3" borderId="15" xfId="1227" applyFont="1" applyFill="1" applyBorder="1" applyAlignment="1">
      <alignment vertical="center" wrapText="1"/>
    </xf>
    <xf numFmtId="43" fontId="6" fillId="2" borderId="20" xfId="1227" applyFont="1" applyFill="1" applyBorder="1" applyAlignment="1">
      <alignment horizontal="right" vertical="center" wrapText="1"/>
    </xf>
    <xf numFmtId="167" fontId="4" fillId="2" borderId="21" xfId="1226" applyNumberFormat="1" applyFont="1" applyFill="1" applyBorder="1" applyAlignment="1">
      <alignment horizontal="right" vertical="center" wrapText="1"/>
    </xf>
    <xf numFmtId="165" fontId="6" fillId="3" borderId="15" xfId="1226" applyFont="1" applyFill="1" applyBorder="1" applyAlignment="1">
      <alignment horizontal="right" vertical="center" wrapText="1"/>
    </xf>
    <xf numFmtId="43" fontId="4" fillId="2" borderId="20" xfId="1227" applyFont="1" applyFill="1" applyBorder="1" applyAlignment="1">
      <alignment horizontal="right" vertical="center" wrapText="1"/>
    </xf>
    <xf numFmtId="167" fontId="6" fillId="2" borderId="21" xfId="1226" applyNumberFormat="1" applyFont="1" applyFill="1" applyBorder="1" applyAlignment="1">
      <alignment horizontal="right" vertical="center" wrapText="1"/>
    </xf>
    <xf numFmtId="167" fontId="6" fillId="4" borderId="17" xfId="1227" applyNumberFormat="1" applyFont="1" applyFill="1" applyBorder="1" applyAlignment="1">
      <alignment vertical="center" wrapText="1"/>
    </xf>
    <xf numFmtId="167" fontId="20" fillId="2" borderId="27" xfId="16" applyNumberFormat="1" applyFont="1" applyFill="1" applyBorder="1" applyAlignment="1">
      <alignment horizontal="center" vertical="center" wrapText="1"/>
    </xf>
    <xf numFmtId="167" fontId="6" fillId="2" borderId="18" xfId="18" applyNumberFormat="1" applyFont="1" applyFill="1" applyBorder="1" applyAlignment="1">
      <alignment vertical="center" wrapText="1"/>
    </xf>
    <xf numFmtId="165" fontId="4" fillId="2" borderId="26" xfId="16" applyFont="1" applyFill="1" applyBorder="1" applyAlignment="1">
      <alignment horizontal="center" vertical="center" wrapText="1"/>
    </xf>
    <xf numFmtId="165" fontId="4" fillId="2" borderId="31" xfId="16" applyFont="1" applyFill="1" applyBorder="1" applyAlignment="1">
      <alignment horizontal="center" vertical="center" wrapText="1"/>
    </xf>
    <xf numFmtId="167" fontId="6" fillId="2" borderId="18" xfId="1227" applyNumberFormat="1" applyFont="1" applyFill="1" applyBorder="1" applyAlignment="1">
      <alignment vertical="center" wrapText="1"/>
    </xf>
    <xf numFmtId="165" fontId="4" fillId="2" borderId="26" xfId="1247" applyFont="1" applyFill="1" applyBorder="1" applyAlignment="1">
      <alignment horizontal="center" vertical="center" wrapText="1"/>
    </xf>
    <xf numFmtId="43" fontId="4" fillId="2" borderId="35" xfId="1227" applyFont="1" applyFill="1" applyBorder="1" applyAlignment="1">
      <alignment horizontal="center" vertical="center" wrapText="1"/>
    </xf>
    <xf numFmtId="43" fontId="4" fillId="2" borderId="36" xfId="1227" applyFont="1" applyFill="1" applyBorder="1" applyAlignment="1">
      <alignment horizontal="center" vertical="center" wrapText="1"/>
    </xf>
    <xf numFmtId="167" fontId="6" fillId="2" borderId="36" xfId="1227" applyNumberFormat="1" applyFont="1" applyFill="1" applyBorder="1" applyAlignment="1">
      <alignment horizontal="center" vertical="center" wrapText="1"/>
    </xf>
    <xf numFmtId="165" fontId="4" fillId="2" borderId="19" xfId="1247" applyFont="1" applyFill="1" applyBorder="1" applyAlignment="1">
      <alignment horizontal="center" vertical="center" wrapText="1"/>
    </xf>
    <xf numFmtId="166" fontId="4" fillId="2" borderId="19" xfId="0" applyNumberFormat="1" applyFont="1" applyFill="1" applyBorder="1" applyAlignment="1">
      <alignment vertical="center" wrapText="1"/>
    </xf>
    <xf numFmtId="43" fontId="4" fillId="2" borderId="31" xfId="1227" applyFont="1" applyFill="1" applyBorder="1" applyAlignment="1">
      <alignment horizontal="center" vertical="center" wrapText="1"/>
    </xf>
    <xf numFmtId="43" fontId="6" fillId="2" borderId="37" xfId="1227" applyFont="1" applyFill="1" applyBorder="1" applyAlignment="1">
      <alignment horizontal="center" vertical="center" wrapText="1"/>
    </xf>
    <xf numFmtId="165" fontId="4" fillId="2" borderId="31" xfId="1247" applyFont="1" applyFill="1" applyBorder="1" applyAlignment="1">
      <alignment horizontal="center" vertical="center" wrapText="1"/>
    </xf>
    <xf numFmtId="165" fontId="4" fillId="0" borderId="31" xfId="1226" applyFont="1" applyFill="1" applyBorder="1" applyAlignment="1">
      <alignment horizontal="center" vertical="center" wrapText="1"/>
    </xf>
    <xf numFmtId="165" fontId="4" fillId="2" borderId="19" xfId="16" applyFont="1" applyFill="1" applyBorder="1" applyAlignment="1">
      <alignment horizontal="center" vertical="center" wrapText="1"/>
    </xf>
    <xf numFmtId="165" fontId="7" fillId="5" borderId="33" xfId="16" applyFont="1" applyFill="1" applyBorder="1" applyAlignment="1">
      <alignment horizontal="center" vertical="center" wrapText="1"/>
    </xf>
    <xf numFmtId="165" fontId="4" fillId="2" borderId="18" xfId="16" applyFont="1" applyFill="1" applyBorder="1" applyAlignment="1">
      <alignment horizontal="center" vertical="center" wrapText="1"/>
    </xf>
    <xf numFmtId="165" fontId="4" fillId="4" borderId="17" xfId="16" applyFont="1" applyFill="1" applyBorder="1" applyAlignment="1">
      <alignment horizontal="center" vertical="center" wrapText="1"/>
    </xf>
    <xf numFmtId="165" fontId="4" fillId="0" borderId="18" xfId="1226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33" xfId="0" applyNumberFormat="1" applyFont="1" applyFill="1" applyBorder="1" applyAlignment="1">
      <alignment horizontal="center" vertical="center" wrapText="1"/>
    </xf>
    <xf numFmtId="165" fontId="4" fillId="4" borderId="34" xfId="1226" applyFont="1" applyFill="1" applyBorder="1" applyAlignment="1">
      <alignment horizontal="center" vertical="center" wrapText="1"/>
    </xf>
    <xf numFmtId="165" fontId="4" fillId="0" borderId="35" xfId="1226" applyFont="1" applyFill="1" applyBorder="1" applyAlignment="1">
      <alignment horizontal="center" vertical="center" wrapText="1"/>
    </xf>
    <xf numFmtId="165" fontId="4" fillId="0" borderId="37" xfId="1226" applyFont="1" applyFill="1" applyBorder="1" applyAlignment="1">
      <alignment horizontal="center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24" fillId="5" borderId="6" xfId="0" applyNumberFormat="1" applyFont="1" applyFill="1" applyBorder="1" applyAlignment="1">
      <alignment horizontal="center" vertical="center" wrapText="1"/>
    </xf>
    <xf numFmtId="49" fontId="24" fillId="5" borderId="4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167" fontId="4" fillId="2" borderId="3" xfId="0" applyNumberFormat="1" applyFont="1" applyFill="1" applyBorder="1" applyAlignment="1">
      <alignment vertical="center" wrapText="1"/>
    </xf>
    <xf numFmtId="167" fontId="6" fillId="2" borderId="35" xfId="18" applyNumberFormat="1" applyFont="1" applyFill="1" applyBorder="1" applyAlignment="1">
      <alignment horizontal="center" vertical="center" wrapText="1"/>
    </xf>
    <xf numFmtId="167" fontId="6" fillId="2" borderId="37" xfId="18" applyNumberFormat="1" applyFont="1" applyFill="1" applyBorder="1" applyAlignment="1">
      <alignment horizontal="center" vertical="center" wrapText="1"/>
    </xf>
    <xf numFmtId="167" fontId="6" fillId="2" borderId="23" xfId="16" applyNumberFormat="1" applyFont="1" applyFill="1" applyBorder="1" applyAlignment="1">
      <alignment horizontal="right" vertical="center" wrapText="1"/>
    </xf>
    <xf numFmtId="165" fontId="6" fillId="2" borderId="21" xfId="16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 vertical="center" wrapText="1"/>
    </xf>
    <xf numFmtId="167" fontId="6" fillId="2" borderId="13" xfId="18" applyNumberFormat="1" applyFont="1" applyFill="1" applyBorder="1" applyAlignment="1">
      <alignment horizontal="center" vertical="center" wrapText="1"/>
    </xf>
    <xf numFmtId="43" fontId="6" fillId="4" borderId="34" xfId="18" applyFont="1" applyFill="1" applyBorder="1" applyAlignment="1">
      <alignment horizontal="center" vertical="center" wrapText="1"/>
    </xf>
    <xf numFmtId="43" fontId="6" fillId="2" borderId="36" xfId="18" applyFont="1" applyFill="1" applyBorder="1" applyAlignment="1">
      <alignment horizontal="center" vertical="center" wrapText="1"/>
    </xf>
    <xf numFmtId="43" fontId="6" fillId="2" borderId="36" xfId="18" applyFont="1" applyFill="1" applyBorder="1" applyAlignment="1">
      <alignment horizontal="center" vertical="center" wrapText="1"/>
    </xf>
    <xf numFmtId="43" fontId="4" fillId="4" borderId="17" xfId="18" applyFont="1" applyFill="1" applyBorder="1" applyAlignment="1">
      <alignment horizontal="center" vertical="center" wrapText="1"/>
    </xf>
    <xf numFmtId="168" fontId="4" fillId="2" borderId="19" xfId="18" applyNumberFormat="1" applyFont="1" applyFill="1" applyBorder="1" applyAlignment="1">
      <alignment horizontal="center" vertical="center" wrapText="1"/>
    </xf>
    <xf numFmtId="43" fontId="4" fillId="2" borderId="19" xfId="1227" applyFont="1" applyFill="1" applyBorder="1" applyAlignment="1">
      <alignment horizontal="center" vertical="center" wrapText="1"/>
    </xf>
    <xf numFmtId="43" fontId="4" fillId="4" borderId="34" xfId="18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43" fontId="4" fillId="2" borderId="35" xfId="18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vertical="center" wrapText="1"/>
    </xf>
    <xf numFmtId="166" fontId="4" fillId="2" borderId="35" xfId="0" applyNumberFormat="1" applyFont="1" applyFill="1" applyBorder="1" applyAlignment="1">
      <alignment vertical="center" wrapText="1"/>
    </xf>
    <xf numFmtId="43" fontId="6" fillId="2" borderId="35" xfId="18" applyFont="1" applyFill="1" applyBorder="1" applyAlignment="1">
      <alignment horizontal="center" vertical="center" wrapText="1"/>
    </xf>
    <xf numFmtId="167" fontId="6" fillId="2" borderId="36" xfId="18" applyNumberFormat="1" applyFont="1" applyFill="1" applyBorder="1" applyAlignment="1">
      <alignment horizontal="center" vertical="center" wrapText="1"/>
    </xf>
    <xf numFmtId="43" fontId="6" fillId="2" borderId="37" xfId="18" applyFont="1" applyFill="1" applyBorder="1" applyAlignment="1">
      <alignment horizontal="center" vertical="center" wrapText="1"/>
    </xf>
    <xf numFmtId="167" fontId="4" fillId="2" borderId="19" xfId="16" applyNumberFormat="1" applyFont="1" applyFill="1" applyBorder="1" applyAlignment="1">
      <alignment horizontal="center" vertical="center" wrapText="1"/>
    </xf>
    <xf numFmtId="167" fontId="4" fillId="2" borderId="31" xfId="16" applyNumberFormat="1" applyFont="1" applyFill="1" applyBorder="1" applyAlignment="1">
      <alignment horizontal="center" vertical="center" wrapText="1"/>
    </xf>
    <xf numFmtId="167" fontId="4" fillId="2" borderId="19" xfId="1227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2" fontId="6" fillId="2" borderId="20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49" fontId="24" fillId="5" borderId="24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43" fontId="6" fillId="4" borderId="34" xfId="1227" applyFont="1" applyFill="1" applyBorder="1" applyAlignment="1">
      <alignment horizontal="center" vertical="center" wrapText="1"/>
    </xf>
    <xf numFmtId="43" fontId="6" fillId="2" borderId="36" xfId="1227" applyFont="1" applyFill="1" applyBorder="1" applyAlignment="1">
      <alignment horizontal="center" vertical="center" wrapText="1"/>
    </xf>
    <xf numFmtId="43" fontId="4" fillId="4" borderId="17" xfId="1227" applyFont="1" applyFill="1" applyBorder="1" applyAlignment="1">
      <alignment horizontal="center" vertical="center" wrapText="1"/>
    </xf>
    <xf numFmtId="43" fontId="4" fillId="2" borderId="18" xfId="1227" applyFont="1" applyFill="1" applyBorder="1" applyAlignment="1">
      <alignment horizontal="center" vertical="center" wrapText="1"/>
    </xf>
    <xf numFmtId="167" fontId="6" fillId="2" borderId="21" xfId="0" applyNumberFormat="1" applyFont="1" applyFill="1" applyBorder="1" applyAlignment="1">
      <alignment horizontal="center" vertical="center" wrapText="1"/>
    </xf>
    <xf numFmtId="167" fontId="4" fillId="2" borderId="33" xfId="0" applyNumberFormat="1" applyFont="1" applyFill="1" applyBorder="1" applyAlignment="1">
      <alignment horizontal="center" vertical="center" wrapText="1"/>
    </xf>
    <xf numFmtId="167" fontId="7" fillId="5" borderId="33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165" fontId="7" fillId="5" borderId="40" xfId="16" applyFont="1" applyFill="1" applyBorder="1" applyAlignment="1">
      <alignment horizontal="center" vertical="center" wrapText="1"/>
    </xf>
    <xf numFmtId="167" fontId="6" fillId="2" borderId="33" xfId="0" applyNumberFormat="1" applyFont="1" applyFill="1" applyBorder="1" applyAlignment="1">
      <alignment horizontal="center" vertical="center" wrapText="1"/>
    </xf>
    <xf numFmtId="167" fontId="6" fillId="2" borderId="7" xfId="16" applyNumberFormat="1" applyFont="1" applyFill="1" applyBorder="1" applyAlignment="1">
      <alignment horizontal="right" vertical="center" wrapText="1"/>
    </xf>
    <xf numFmtId="165" fontId="6" fillId="2" borderId="25" xfId="16" applyFont="1" applyFill="1" applyBorder="1" applyAlignment="1">
      <alignment vertical="center" wrapText="1"/>
    </xf>
    <xf numFmtId="167" fontId="6" fillId="2" borderId="7" xfId="0" applyNumberFormat="1" applyFont="1" applyFill="1" applyBorder="1" applyAlignment="1">
      <alignment vertical="center" wrapText="1"/>
    </xf>
    <xf numFmtId="167" fontId="6" fillId="4" borderId="34" xfId="18" applyNumberFormat="1" applyFont="1" applyFill="1" applyBorder="1" applyAlignment="1">
      <alignment horizontal="center" vertical="center" wrapText="1"/>
    </xf>
    <xf numFmtId="167" fontId="6" fillId="4" borderId="34" xfId="1227" applyNumberFormat="1" applyFont="1" applyFill="1" applyBorder="1" applyAlignment="1">
      <alignment horizontal="center" vertical="center" wrapText="1"/>
    </xf>
    <xf numFmtId="167" fontId="4" fillId="4" borderId="17" xfId="18" applyNumberFormat="1" applyFont="1" applyFill="1" applyBorder="1" applyAlignment="1">
      <alignment horizontal="center" vertical="center" wrapText="1"/>
    </xf>
    <xf numFmtId="167" fontId="4" fillId="4" borderId="17" xfId="1227" applyNumberFormat="1" applyFont="1" applyFill="1" applyBorder="1" applyAlignment="1">
      <alignment horizontal="center" vertical="center" wrapText="1"/>
    </xf>
    <xf numFmtId="167" fontId="4" fillId="2" borderId="19" xfId="1247" applyNumberFormat="1" applyFont="1" applyFill="1" applyBorder="1" applyAlignment="1">
      <alignment horizontal="center" vertical="center" wrapText="1"/>
    </xf>
    <xf numFmtId="167" fontId="4" fillId="4" borderId="17" xfId="16" applyNumberFormat="1" applyFont="1" applyFill="1" applyBorder="1" applyAlignment="1">
      <alignment horizontal="center" vertical="center" wrapText="1"/>
    </xf>
    <xf numFmtId="166" fontId="6" fillId="4" borderId="34" xfId="0" applyNumberFormat="1" applyFont="1" applyFill="1" applyBorder="1" applyAlignment="1">
      <alignment vertical="center" wrapText="1"/>
    </xf>
    <xf numFmtId="166" fontId="6" fillId="2" borderId="35" xfId="0" applyNumberFormat="1" applyFont="1" applyFill="1" applyBorder="1" applyAlignment="1">
      <alignment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66" fontId="6" fillId="4" borderId="17" xfId="0" applyNumberFormat="1" applyFont="1" applyFill="1" applyBorder="1" applyAlignment="1">
      <alignment vertical="center" wrapText="1"/>
    </xf>
    <xf numFmtId="166" fontId="6" fillId="2" borderId="18" xfId="0" applyNumberFormat="1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43" fontId="4" fillId="4" borderId="35" xfId="18" applyFont="1" applyFill="1" applyBorder="1" applyAlignment="1">
      <alignment horizontal="center" vertical="center" wrapText="1"/>
    </xf>
    <xf numFmtId="43" fontId="4" fillId="4" borderId="18" xfId="18" applyFont="1" applyFill="1" applyBorder="1" applyAlignment="1">
      <alignment horizontal="center" vertical="center" wrapText="1"/>
    </xf>
    <xf numFmtId="43" fontId="6" fillId="4" borderId="35" xfId="18" applyFont="1" applyFill="1" applyBorder="1" applyAlignment="1">
      <alignment horizontal="center" vertical="center" wrapText="1"/>
    </xf>
    <xf numFmtId="167" fontId="4" fillId="4" borderId="18" xfId="18" applyNumberFormat="1" applyFont="1" applyFill="1" applyBorder="1" applyAlignment="1">
      <alignment horizontal="center" vertical="center" wrapText="1"/>
    </xf>
    <xf numFmtId="167" fontId="6" fillId="4" borderId="35" xfId="18" applyNumberFormat="1" applyFont="1" applyFill="1" applyBorder="1" applyAlignment="1">
      <alignment horizontal="center" vertical="center" wrapText="1"/>
    </xf>
    <xf numFmtId="167" fontId="4" fillId="4" borderId="18" xfId="16" applyNumberFormat="1" applyFont="1" applyFill="1" applyBorder="1" applyAlignment="1">
      <alignment horizontal="center" vertical="center" wrapText="1"/>
    </xf>
    <xf numFmtId="167" fontId="6" fillId="4" borderId="18" xfId="18" applyNumberFormat="1" applyFont="1" applyFill="1" applyBorder="1" applyAlignment="1">
      <alignment vertical="center" wrapText="1"/>
    </xf>
    <xf numFmtId="167" fontId="6" fillId="4" borderId="25" xfId="0" applyNumberFormat="1" applyFont="1" applyFill="1" applyBorder="1" applyAlignment="1">
      <alignment vertical="center" wrapText="1"/>
    </xf>
    <xf numFmtId="165" fontId="4" fillId="4" borderId="17" xfId="1247" applyFont="1" applyFill="1" applyBorder="1" applyAlignment="1">
      <alignment horizontal="center" vertical="center" wrapText="1"/>
    </xf>
    <xf numFmtId="49" fontId="6" fillId="2" borderId="41" xfId="0" applyNumberFormat="1" applyFont="1" applyFill="1" applyBorder="1" applyAlignment="1">
      <alignment horizontal="center" vertical="center" wrapText="1"/>
    </xf>
    <xf numFmtId="167" fontId="7" fillId="5" borderId="33" xfId="16" applyNumberFormat="1" applyFont="1" applyFill="1" applyBorder="1" applyAlignment="1">
      <alignment horizontal="center" vertical="center" wrapText="1"/>
    </xf>
    <xf numFmtId="167" fontId="7" fillId="5" borderId="4" xfId="16" applyNumberFormat="1" applyFont="1" applyFill="1" applyBorder="1" applyAlignment="1">
      <alignment horizontal="center" vertical="center" wrapText="1"/>
    </xf>
    <xf numFmtId="167" fontId="4" fillId="2" borderId="3" xfId="16" applyNumberFormat="1" applyFont="1" applyFill="1" applyBorder="1" applyAlignment="1">
      <alignment vertical="center" wrapText="1"/>
    </xf>
    <xf numFmtId="43" fontId="6" fillId="2" borderId="35" xfId="18" applyFont="1" applyFill="1" applyBorder="1" applyAlignment="1">
      <alignment horizontal="center" vertical="center" wrapText="1"/>
    </xf>
    <xf numFmtId="168" fontId="4" fillId="2" borderId="19" xfId="1227" applyNumberFormat="1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167" fontId="4" fillId="2" borderId="18" xfId="16" applyNumberFormat="1" applyFont="1" applyFill="1" applyBorder="1" applyAlignment="1">
      <alignment horizontal="center" vertical="center" wrapText="1"/>
    </xf>
    <xf numFmtId="167" fontId="4" fillId="2" borderId="19" xfId="16" applyNumberFormat="1" applyFont="1" applyFill="1" applyBorder="1" applyAlignment="1">
      <alignment horizontal="center" vertical="center" wrapText="1"/>
    </xf>
    <xf numFmtId="49" fontId="24" fillId="5" borderId="33" xfId="0" applyNumberFormat="1" applyFont="1" applyFill="1" applyBorder="1" applyAlignment="1">
      <alignment horizontal="center" vertical="center" wrapText="1"/>
    </xf>
    <xf numFmtId="49" fontId="24" fillId="5" borderId="13" xfId="0" applyNumberFormat="1" applyFont="1" applyFill="1" applyBorder="1" applyAlignment="1">
      <alignment horizontal="center" vertical="center" wrapText="1"/>
    </xf>
    <xf numFmtId="49" fontId="24" fillId="5" borderId="20" xfId="0" applyNumberFormat="1" applyFont="1" applyFill="1" applyBorder="1" applyAlignment="1">
      <alignment horizontal="center" vertical="center" wrapText="1"/>
    </xf>
    <xf numFmtId="165" fontId="7" fillId="5" borderId="44" xfId="1226" applyFont="1" applyFill="1" applyBorder="1" applyAlignment="1">
      <alignment horizontal="center" vertical="center" wrapText="1"/>
    </xf>
    <xf numFmtId="165" fontId="7" fillId="5" borderId="23" xfId="1226" applyFont="1" applyFill="1" applyBorder="1" applyAlignment="1">
      <alignment horizontal="center" vertical="center" wrapText="1"/>
    </xf>
    <xf numFmtId="166" fontId="4" fillId="2" borderId="25" xfId="0" applyNumberFormat="1" applyFont="1" applyFill="1" applyBorder="1" applyAlignment="1">
      <alignment vertical="center" wrapText="1"/>
    </xf>
    <xf numFmtId="166" fontId="4" fillId="2" borderId="23" xfId="0" applyNumberFormat="1" applyFont="1" applyFill="1" applyBorder="1" applyAlignment="1">
      <alignment vertical="center" wrapText="1"/>
    </xf>
    <xf numFmtId="43" fontId="6" fillId="2" borderId="35" xfId="1227" applyFont="1" applyFill="1" applyBorder="1" applyAlignment="1">
      <alignment horizontal="center" vertical="center" wrapText="1"/>
    </xf>
    <xf numFmtId="167" fontId="4" fillId="2" borderId="19" xfId="1226" applyNumberFormat="1" applyFont="1" applyFill="1" applyBorder="1" applyAlignment="1">
      <alignment horizontal="center" vertical="center" wrapText="1"/>
    </xf>
    <xf numFmtId="167" fontId="4" fillId="4" borderId="17" xfId="1226" applyNumberFormat="1" applyFont="1" applyFill="1" applyBorder="1" applyAlignment="1">
      <alignment horizontal="center" vertical="center" wrapText="1"/>
    </xf>
    <xf numFmtId="43" fontId="6" fillId="2" borderId="13" xfId="1227" applyFont="1" applyFill="1" applyBorder="1" applyAlignment="1">
      <alignment horizontal="center" vertical="center" wrapText="1"/>
    </xf>
    <xf numFmtId="165" fontId="6" fillId="2" borderId="21" xfId="1226" applyFont="1" applyFill="1" applyBorder="1" applyAlignment="1">
      <alignment vertical="center" wrapText="1"/>
    </xf>
    <xf numFmtId="167" fontId="6" fillId="2" borderId="23" xfId="1226" applyNumberFormat="1" applyFont="1" applyFill="1" applyBorder="1" applyAlignment="1">
      <alignment horizontal="right" vertical="center" wrapText="1"/>
    </xf>
    <xf numFmtId="43" fontId="4" fillId="0" borderId="31" xfId="1227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3" fontId="4" fillId="0" borderId="35" xfId="1227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vertical="center" wrapText="1"/>
    </xf>
    <xf numFmtId="166" fontId="4" fillId="0" borderId="23" xfId="0" applyNumberFormat="1" applyFont="1" applyFill="1" applyBorder="1" applyAlignment="1">
      <alignment vertical="center" wrapText="1"/>
    </xf>
    <xf numFmtId="43" fontId="14" fillId="4" borderId="46" xfId="1227" applyFont="1" applyFill="1" applyBorder="1" applyAlignment="1">
      <alignment horizontal="center" vertical="center" wrapText="1"/>
    </xf>
    <xf numFmtId="43" fontId="4" fillId="0" borderId="32" xfId="1227" applyFont="1" applyFill="1" applyBorder="1" applyAlignment="1">
      <alignment horizontal="center" vertical="center" wrapText="1"/>
    </xf>
    <xf numFmtId="43" fontId="4" fillId="0" borderId="47" xfId="1227" applyFont="1" applyFill="1" applyBorder="1" applyAlignment="1">
      <alignment horizontal="center" vertical="center" wrapText="1"/>
    </xf>
    <xf numFmtId="43" fontId="6" fillId="2" borderId="48" xfId="18" applyFont="1" applyFill="1" applyBorder="1" applyAlignment="1">
      <alignment horizontal="center" vertical="center" wrapText="1"/>
    </xf>
    <xf numFmtId="43" fontId="6" fillId="4" borderId="17" xfId="1227" applyFont="1" applyFill="1" applyBorder="1" applyAlignment="1">
      <alignment horizontal="center" vertical="center" wrapText="1"/>
    </xf>
    <xf numFmtId="43" fontId="6" fillId="2" borderId="31" xfId="18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vertical="center"/>
    </xf>
    <xf numFmtId="169" fontId="6" fillId="2" borderId="21" xfId="18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172" fontId="4" fillId="2" borderId="19" xfId="16" applyNumberFormat="1" applyFont="1" applyFill="1" applyBorder="1" applyAlignment="1">
      <alignment horizontal="center" vertical="center" wrapText="1"/>
    </xf>
    <xf numFmtId="43" fontId="6" fillId="2" borderId="49" xfId="18" applyFont="1" applyFill="1" applyBorder="1" applyAlignment="1">
      <alignment horizontal="center" vertical="center" wrapText="1"/>
    </xf>
    <xf numFmtId="0" fontId="4" fillId="2" borderId="19" xfId="16" applyNumberFormat="1" applyFont="1" applyFill="1" applyBorder="1" applyAlignment="1">
      <alignment horizontal="center" vertical="center" wrapText="1"/>
    </xf>
    <xf numFmtId="167" fontId="4" fillId="2" borderId="48" xfId="16" applyNumberFormat="1" applyFont="1" applyFill="1" applyBorder="1" applyAlignment="1">
      <alignment horizontal="center" vertical="center" wrapText="1"/>
    </xf>
    <xf numFmtId="172" fontId="4" fillId="2" borderId="31" xfId="16" applyNumberFormat="1" applyFont="1" applyFill="1" applyBorder="1" applyAlignment="1">
      <alignment horizontal="center" vertical="center" wrapText="1"/>
    </xf>
    <xf numFmtId="43" fontId="4" fillId="2" borderId="19" xfId="18" applyNumberFormat="1" applyFont="1" applyFill="1" applyBorder="1" applyAlignment="1">
      <alignment horizontal="center" vertical="center" wrapText="1"/>
    </xf>
    <xf numFmtId="171" fontId="4" fillId="2" borderId="19" xfId="18" applyNumberFormat="1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4" fillId="2" borderId="35" xfId="18" applyFont="1" applyFill="1" applyBorder="1" applyAlignment="1">
      <alignment horizontal="center" vertical="center" wrapText="1"/>
    </xf>
    <xf numFmtId="167" fontId="6" fillId="2" borderId="18" xfId="18" applyNumberFormat="1" applyFont="1" applyFill="1" applyBorder="1" applyAlignment="1">
      <alignment horizontal="center" vertical="center" wrapText="1"/>
    </xf>
    <xf numFmtId="167" fontId="6" fillId="2" borderId="23" xfId="0" applyNumberFormat="1" applyFont="1" applyFill="1" applyBorder="1" applyAlignment="1">
      <alignment horizontal="center" vertical="center" wrapText="1"/>
    </xf>
    <xf numFmtId="167" fontId="6" fillId="4" borderId="18" xfId="18" applyNumberFormat="1" applyFont="1" applyFill="1" applyBorder="1" applyAlignment="1">
      <alignment horizontal="center" vertical="center" wrapText="1"/>
    </xf>
    <xf numFmtId="167" fontId="6" fillId="4" borderId="32" xfId="18" applyNumberFormat="1" applyFont="1" applyFill="1" applyBorder="1" applyAlignment="1">
      <alignment horizontal="right" vertical="center" wrapText="1"/>
    </xf>
    <xf numFmtId="167" fontId="6" fillId="4" borderId="18" xfId="0" applyNumberFormat="1" applyFont="1" applyFill="1" applyBorder="1" applyAlignment="1">
      <alignment horizontal="center"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0" fontId="20" fillId="0" borderId="51" xfId="0" applyNumberFormat="1" applyFont="1" applyBorder="1" applyAlignment="1">
      <alignment horizontal="left" vertical="center" wrapText="1"/>
    </xf>
    <xf numFmtId="1" fontId="20" fillId="4" borderId="31" xfId="0" applyNumberFormat="1" applyFont="1" applyFill="1" applyBorder="1" applyAlignment="1">
      <alignment horizontal="center"/>
    </xf>
    <xf numFmtId="1" fontId="20" fillId="4" borderId="30" xfId="0" applyNumberFormat="1" applyFont="1" applyFill="1" applyBorder="1" applyAlignment="1">
      <alignment horizontal="center" vertical="top" wrapText="1"/>
    </xf>
    <xf numFmtId="1" fontId="20" fillId="4" borderId="28" xfId="18" applyNumberFormat="1" applyFont="1" applyFill="1" applyBorder="1" applyAlignment="1">
      <alignment horizontal="center" vertical="top" wrapText="1"/>
    </xf>
    <xf numFmtId="49" fontId="20" fillId="0" borderId="18" xfId="0" applyNumberFormat="1" applyFont="1" applyBorder="1" applyAlignment="1">
      <alignment horizontal="center" vertical="center" wrapText="1"/>
    </xf>
    <xf numFmtId="167" fontId="9" fillId="0" borderId="52" xfId="16" applyNumberFormat="1" applyFont="1" applyBorder="1" applyAlignment="1">
      <alignment horizontal="center" vertical="center" wrapText="1"/>
    </xf>
    <xf numFmtId="1" fontId="20" fillId="5" borderId="31" xfId="0" applyNumberFormat="1" applyFont="1" applyFill="1" applyBorder="1" applyAlignment="1">
      <alignment horizontal="center"/>
    </xf>
    <xf numFmtId="0" fontId="20" fillId="5" borderId="30" xfId="0" applyNumberFormat="1" applyFont="1" applyFill="1" applyBorder="1" applyAlignment="1">
      <alignment horizontal="left" vertical="center" wrapText="1"/>
    </xf>
    <xf numFmtId="165" fontId="20" fillId="5" borderId="28" xfId="16" applyFont="1" applyFill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top" wrapText="1"/>
    </xf>
    <xf numFmtId="0" fontId="21" fillId="0" borderId="51" xfId="0" applyFont="1" applyBorder="1" applyAlignment="1">
      <alignment horizontal="left" vertical="center" wrapText="1"/>
    </xf>
    <xf numFmtId="171" fontId="20" fillId="0" borderId="52" xfId="18" applyNumberFormat="1" applyFont="1" applyBorder="1" applyAlignment="1">
      <alignment horizontal="center" vertical="center" wrapText="1"/>
    </xf>
    <xf numFmtId="49" fontId="20" fillId="5" borderId="31" xfId="0" applyNumberFormat="1" applyFont="1" applyFill="1" applyBorder="1" applyAlignment="1">
      <alignment horizontal="center" vertical="top" wrapText="1"/>
    </xf>
    <xf numFmtId="0" fontId="20" fillId="5" borderId="30" xfId="0" applyNumberFormat="1" applyFont="1" applyFill="1" applyBorder="1" applyAlignment="1">
      <alignment horizontal="left" vertical="top" wrapText="1"/>
    </xf>
    <xf numFmtId="165" fontId="20" fillId="5" borderId="28" xfId="16" applyFont="1" applyFill="1" applyBorder="1" applyAlignment="1">
      <alignment horizontal="center" vertical="top" wrapText="1"/>
    </xf>
    <xf numFmtId="165" fontId="9" fillId="0" borderId="52" xfId="16" applyFont="1" applyBorder="1" applyAlignment="1">
      <alignment horizontal="center" vertical="center" wrapText="1"/>
    </xf>
    <xf numFmtId="49" fontId="21" fillId="5" borderId="31" xfId="0" applyNumberFormat="1" applyFont="1" applyFill="1" applyBorder="1" applyAlignment="1">
      <alignment horizontal="center" vertical="top" wrapText="1"/>
    </xf>
    <xf numFmtId="0" fontId="21" fillId="5" borderId="30" xfId="0" applyFont="1" applyFill="1" applyBorder="1" applyAlignment="1">
      <alignment horizontal="left" vertical="center" wrapText="1"/>
    </xf>
    <xf numFmtId="43" fontId="20" fillId="5" borderId="28" xfId="18" applyFont="1" applyFill="1" applyBorder="1" applyAlignment="1">
      <alignment horizontal="center" vertical="center" wrapText="1"/>
    </xf>
    <xf numFmtId="165" fontId="4" fillId="2" borderId="25" xfId="1247" applyFont="1" applyFill="1" applyBorder="1" applyAlignment="1">
      <alignment horizontal="center" vertical="center" wrapText="1"/>
    </xf>
    <xf numFmtId="43" fontId="4" fillId="2" borderId="23" xfId="1227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43" fontId="4" fillId="2" borderId="21" xfId="1227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65" fontId="4" fillId="4" borderId="14" xfId="1247" applyFont="1" applyFill="1" applyBorder="1" applyAlignment="1">
      <alignment horizontal="center" vertical="center" wrapText="1"/>
    </xf>
    <xf numFmtId="165" fontId="4" fillId="2" borderId="22" xfId="1247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0" fillId="2" borderId="24" xfId="0" applyFill="1" applyBorder="1"/>
    <xf numFmtId="0" fontId="0" fillId="0" borderId="25" xfId="0" applyBorder="1"/>
    <xf numFmtId="0" fontId="0" fillId="0" borderId="23" xfId="0" applyBorder="1"/>
    <xf numFmtId="0" fontId="4" fillId="2" borderId="0" xfId="0" applyFont="1" applyFill="1" applyBorder="1" applyAlignment="1">
      <alignment horizontal="center" vertical="center"/>
    </xf>
    <xf numFmtId="167" fontId="6" fillId="2" borderId="31" xfId="1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0" fontId="16" fillId="0" borderId="0" xfId="0" applyFont="1"/>
    <xf numFmtId="0" fontId="0" fillId="0" borderId="0" xfId="0" applyBorder="1"/>
    <xf numFmtId="0" fontId="16" fillId="0" borderId="11" xfId="0" applyFont="1" applyBorder="1"/>
    <xf numFmtId="0" fontId="0" fillId="0" borderId="12" xfId="0" applyBorder="1"/>
    <xf numFmtId="0" fontId="0" fillId="0" borderId="7" xfId="0" applyBorder="1"/>
    <xf numFmtId="0" fontId="0" fillId="0" borderId="33" xfId="0" applyBorder="1"/>
    <xf numFmtId="0" fontId="0" fillId="0" borderId="4" xfId="0" applyBorder="1" applyAlignment="1">
      <alignment/>
    </xf>
    <xf numFmtId="0" fontId="16" fillId="0" borderId="33" xfId="0" applyFont="1" applyBorder="1" applyAlignment="1">
      <alignment horizontal="center"/>
    </xf>
    <xf numFmtId="0" fontId="35" fillId="0" borderId="3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5" fillId="0" borderId="24" xfId="0" applyFont="1" applyBorder="1"/>
    <xf numFmtId="167" fontId="18" fillId="0" borderId="24" xfId="0" applyNumberFormat="1" applyFont="1" applyBorder="1"/>
    <xf numFmtId="10" fontId="35" fillId="0" borderId="24" xfId="0" applyNumberFormat="1" applyFont="1" applyBorder="1"/>
    <xf numFmtId="0" fontId="0" fillId="0" borderId="18" xfId="0" applyBorder="1" applyAlignment="1">
      <alignment horizontal="center"/>
    </xf>
    <xf numFmtId="0" fontId="0" fillId="0" borderId="45" xfId="0" applyBorder="1"/>
    <xf numFmtId="167" fontId="18" fillId="0" borderId="18" xfId="0" applyNumberFormat="1" applyFont="1" applyBorder="1"/>
    <xf numFmtId="10" fontId="35" fillId="0" borderId="18" xfId="0" applyNumberFormat="1" applyFont="1" applyBorder="1"/>
    <xf numFmtId="0" fontId="0" fillId="0" borderId="50" xfId="0" applyBorder="1"/>
    <xf numFmtId="0" fontId="0" fillId="0" borderId="19" xfId="0" applyBorder="1"/>
    <xf numFmtId="167" fontId="18" fillId="0" borderId="19" xfId="0" applyNumberFormat="1" applyFont="1" applyBorder="1"/>
    <xf numFmtId="10" fontId="35" fillId="0" borderId="19" xfId="0" applyNumberFormat="1" applyFont="1" applyBorder="1"/>
    <xf numFmtId="0" fontId="0" fillId="0" borderId="19" xfId="0" applyBorder="1" applyAlignment="1">
      <alignment horizontal="center"/>
    </xf>
    <xf numFmtId="167" fontId="35" fillId="0" borderId="19" xfId="0" applyNumberFormat="1" applyFont="1" applyBorder="1"/>
    <xf numFmtId="0" fontId="35" fillId="0" borderId="19" xfId="0" applyFont="1" applyBorder="1"/>
    <xf numFmtId="10" fontId="0" fillId="0" borderId="19" xfId="0" applyNumberFormat="1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53" xfId="0" applyBorder="1"/>
    <xf numFmtId="173" fontId="13" fillId="0" borderId="31" xfId="1247" applyNumberFormat="1" applyFont="1" applyBorder="1"/>
    <xf numFmtId="10" fontId="0" fillId="0" borderId="31" xfId="0" applyNumberFormat="1" applyBorder="1"/>
    <xf numFmtId="0" fontId="18" fillId="2" borderId="19" xfId="0" applyFont="1" applyFill="1" applyBorder="1"/>
    <xf numFmtId="0" fontId="18" fillId="0" borderId="19" xfId="0" applyFont="1" applyBorder="1"/>
    <xf numFmtId="10" fontId="18" fillId="0" borderId="19" xfId="0" applyNumberFormat="1" applyFont="1" applyBorder="1"/>
    <xf numFmtId="167" fontId="6" fillId="2" borderId="32" xfId="18" applyNumberFormat="1" applyFont="1" applyFill="1" applyBorder="1" applyAlignment="1">
      <alignment vertical="center" wrapText="1"/>
    </xf>
    <xf numFmtId="167" fontId="6" fillId="2" borderId="47" xfId="18" applyNumberFormat="1" applyFont="1" applyFill="1" applyBorder="1" applyAlignment="1">
      <alignment horizontal="right" vertical="center" wrapText="1"/>
    </xf>
    <xf numFmtId="167" fontId="7" fillId="5" borderId="5" xfId="0" applyNumberFormat="1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43" fontId="6" fillId="4" borderId="17" xfId="18" applyNumberFormat="1" applyFont="1" applyFill="1" applyBorder="1" applyAlignment="1">
      <alignment horizontal="right" vertical="center" wrapText="1"/>
    </xf>
    <xf numFmtId="0" fontId="6" fillId="4" borderId="34" xfId="0" applyFont="1" applyFill="1" applyBorder="1" applyAlignment="1">
      <alignment vertical="center" wrapText="1"/>
    </xf>
    <xf numFmtId="167" fontId="4" fillId="4" borderId="17" xfId="18" applyNumberFormat="1" applyFont="1" applyFill="1" applyBorder="1" applyAlignment="1">
      <alignment horizontal="right" vertical="center" wrapText="1"/>
    </xf>
    <xf numFmtId="167" fontId="6" fillId="4" borderId="17" xfId="18" applyNumberFormat="1" applyFont="1" applyFill="1" applyBorder="1" applyAlignment="1">
      <alignment horizontal="right" vertical="center" wrapText="1"/>
    </xf>
    <xf numFmtId="167" fontId="6" fillId="4" borderId="17" xfId="18" applyNumberFormat="1" applyFont="1" applyFill="1" applyBorder="1" applyAlignment="1">
      <alignment horizontal="center" vertical="center" wrapText="1"/>
    </xf>
    <xf numFmtId="167" fontId="6" fillId="4" borderId="46" xfId="18" applyNumberFormat="1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vertical="center" wrapText="1"/>
    </xf>
    <xf numFmtId="43" fontId="6" fillId="2" borderId="33" xfId="18" applyFont="1" applyFill="1" applyBorder="1" applyAlignment="1">
      <alignment horizontal="center" vertical="center" wrapText="1"/>
    </xf>
    <xf numFmtId="167" fontId="6" fillId="2" borderId="33" xfId="16" applyNumberFormat="1" applyFont="1" applyFill="1" applyBorder="1" applyAlignment="1">
      <alignment horizontal="right" vertical="center" wrapText="1"/>
    </xf>
    <xf numFmtId="165" fontId="6" fillId="2" borderId="33" xfId="16" applyFont="1" applyFill="1" applyBorder="1" applyAlignment="1">
      <alignment vertical="center" wrapText="1"/>
    </xf>
    <xf numFmtId="171" fontId="6" fillId="2" borderId="33" xfId="18" applyNumberFormat="1" applyFont="1" applyFill="1" applyBorder="1" applyAlignment="1">
      <alignment horizontal="center" vertical="center" wrapText="1"/>
    </xf>
    <xf numFmtId="0" fontId="35" fillId="6" borderId="18" xfId="0" applyFont="1" applyFill="1" applyBorder="1"/>
    <xf numFmtId="0" fontId="35" fillId="6" borderId="19" xfId="0" applyFont="1" applyFill="1" applyBorder="1"/>
    <xf numFmtId="43" fontId="6" fillId="2" borderId="36" xfId="1227" applyFont="1" applyFill="1" applyBorder="1" applyAlignment="1">
      <alignment horizontal="center" vertical="center" wrapText="1"/>
    </xf>
    <xf numFmtId="167" fontId="6" fillId="2" borderId="35" xfId="1227" applyNumberFormat="1" applyFont="1" applyFill="1" applyBorder="1" applyAlignment="1">
      <alignment horizontal="center" vertical="center" wrapText="1"/>
    </xf>
    <xf numFmtId="43" fontId="4" fillId="2" borderId="18" xfId="1227" applyNumberFormat="1" applyFont="1" applyFill="1" applyBorder="1" applyAlignment="1">
      <alignment horizontal="center" vertical="center" wrapText="1"/>
    </xf>
    <xf numFmtId="43" fontId="6" fillId="2" borderId="36" xfId="1227" applyNumberFormat="1" applyFont="1" applyFill="1" applyBorder="1" applyAlignment="1">
      <alignment horizontal="center" vertical="center" wrapText="1"/>
    </xf>
    <xf numFmtId="165" fontId="4" fillId="4" borderId="17" xfId="16" applyNumberFormat="1" applyFont="1" applyFill="1" applyBorder="1" applyAlignment="1">
      <alignment horizontal="center" vertical="center" wrapText="1"/>
    </xf>
    <xf numFmtId="166" fontId="6" fillId="2" borderId="45" xfId="0" applyNumberFormat="1" applyFont="1" applyFill="1" applyBorder="1" applyAlignment="1">
      <alignment vertical="center" wrapText="1"/>
    </xf>
    <xf numFmtId="166" fontId="6" fillId="2" borderId="32" xfId="0" applyNumberFormat="1" applyFont="1" applyFill="1" applyBorder="1" applyAlignment="1">
      <alignment vertical="center" wrapText="1"/>
    </xf>
    <xf numFmtId="49" fontId="5" fillId="5" borderId="33" xfId="0" applyNumberFormat="1" applyFont="1" applyFill="1" applyBorder="1" applyAlignment="1">
      <alignment horizontal="center" vertical="center" wrapText="1"/>
    </xf>
    <xf numFmtId="167" fontId="4" fillId="2" borderId="0" xfId="1361" applyNumberFormat="1" applyFont="1" applyFill="1" applyAlignment="1">
      <alignment vertical="center" wrapText="1"/>
      <protection/>
    </xf>
    <xf numFmtId="167" fontId="4" fillId="2" borderId="0" xfId="1361" applyNumberFormat="1" applyFont="1" applyFill="1" applyAlignment="1">
      <alignment horizontal="center" vertical="center" wrapText="1"/>
      <protection/>
    </xf>
    <xf numFmtId="2" fontId="4" fillId="2" borderId="0" xfId="0" applyNumberFormat="1" applyFont="1" applyFill="1" applyBorder="1" applyAlignment="1">
      <alignment horizontal="right" vertical="center" wrapText="1"/>
    </xf>
    <xf numFmtId="165" fontId="4" fillId="2" borderId="0" xfId="1247" applyFont="1" applyFill="1" applyAlignment="1">
      <alignment vertical="center" wrapText="1"/>
    </xf>
    <xf numFmtId="165" fontId="4" fillId="2" borderId="0" xfId="1247" applyFont="1" applyFill="1" applyAlignment="1">
      <alignment vertical="center"/>
    </xf>
    <xf numFmtId="165" fontId="9" fillId="2" borderId="0" xfId="1247" applyFont="1" applyFill="1" applyAlignment="1">
      <alignment horizontal="left" vertical="center" wrapText="1"/>
    </xf>
    <xf numFmtId="167" fontId="6" fillId="2" borderId="23" xfId="1247" applyNumberFormat="1" applyFont="1" applyFill="1" applyBorder="1" applyAlignment="1">
      <alignment horizontal="right" vertical="center" wrapText="1"/>
    </xf>
    <xf numFmtId="165" fontId="6" fillId="2" borderId="21" xfId="1247" applyFont="1" applyFill="1" applyBorder="1" applyAlignment="1">
      <alignment vertical="center" wrapText="1"/>
    </xf>
    <xf numFmtId="165" fontId="6" fillId="2" borderId="0" xfId="1247" applyFont="1" applyFill="1" applyAlignment="1">
      <alignment horizontal="left" vertical="center" wrapText="1"/>
    </xf>
    <xf numFmtId="165" fontId="6" fillId="2" borderId="0" xfId="1247" applyFont="1" applyFill="1" applyBorder="1" applyAlignment="1">
      <alignment horizontal="right" vertical="center" wrapText="1"/>
    </xf>
    <xf numFmtId="165" fontId="4" fillId="2" borderId="0" xfId="1247" applyFont="1" applyFill="1" applyAlignment="1">
      <alignment horizontal="center" vertical="center" wrapText="1"/>
    </xf>
    <xf numFmtId="165" fontId="4" fillId="2" borderId="3" xfId="1247" applyFont="1" applyFill="1" applyBorder="1" applyAlignment="1">
      <alignment vertical="center"/>
    </xf>
    <xf numFmtId="165" fontId="4" fillId="2" borderId="44" xfId="1247" applyFont="1" applyFill="1" applyBorder="1" applyAlignment="1">
      <alignment horizontal="center" vertical="center" wrapText="1"/>
    </xf>
    <xf numFmtId="165" fontId="7" fillId="5" borderId="33" xfId="1247" applyFont="1" applyFill="1" applyBorder="1" applyAlignment="1">
      <alignment horizontal="center" vertical="center" wrapText="1"/>
    </xf>
    <xf numFmtId="43" fontId="6" fillId="2" borderId="19" xfId="1227" applyFont="1" applyFill="1" applyBorder="1" applyAlignment="1">
      <alignment horizontal="center" vertical="center" wrapText="1"/>
    </xf>
    <xf numFmtId="168" fontId="4" fillId="2" borderId="18" xfId="1227" applyNumberFormat="1" applyFont="1" applyFill="1" applyBorder="1" applyAlignment="1">
      <alignment horizontal="center" vertical="center" wrapText="1"/>
    </xf>
    <xf numFmtId="43" fontId="6" fillId="2" borderId="35" xfId="1227" applyFont="1" applyFill="1" applyBorder="1" applyAlignment="1">
      <alignment horizontal="center" vertical="center" wrapText="1"/>
    </xf>
    <xf numFmtId="167" fontId="4" fillId="2" borderId="22" xfId="1247" applyNumberFormat="1" applyFont="1" applyFill="1" applyBorder="1" applyAlignment="1">
      <alignment horizontal="center" vertical="center" wrapText="1"/>
    </xf>
    <xf numFmtId="167" fontId="4" fillId="2" borderId="26" xfId="1247" applyNumberFormat="1" applyFont="1" applyFill="1" applyBorder="1" applyAlignment="1">
      <alignment horizontal="center" vertical="center" wrapText="1"/>
    </xf>
    <xf numFmtId="167" fontId="4" fillId="2" borderId="18" xfId="1247" applyNumberFormat="1" applyFont="1" applyFill="1" applyBorder="1" applyAlignment="1">
      <alignment horizontal="center" vertical="center" wrapText="1"/>
    </xf>
    <xf numFmtId="171" fontId="4" fillId="2" borderId="19" xfId="1227" applyNumberFormat="1" applyFont="1" applyFill="1" applyBorder="1" applyAlignment="1">
      <alignment horizontal="center" vertical="center" wrapText="1"/>
    </xf>
    <xf numFmtId="167" fontId="4" fillId="2" borderId="31" xfId="1247" applyNumberFormat="1" applyFont="1" applyFill="1" applyBorder="1" applyAlignment="1">
      <alignment horizontal="center" vertical="center" wrapText="1"/>
    </xf>
    <xf numFmtId="167" fontId="6" fillId="2" borderId="13" xfId="1247" applyNumberFormat="1" applyFont="1" applyFill="1" applyBorder="1" applyAlignment="1">
      <alignment vertical="center" wrapText="1"/>
    </xf>
    <xf numFmtId="167" fontId="6" fillId="3" borderId="15" xfId="1227" applyNumberFormat="1" applyFont="1" applyFill="1" applyBorder="1" applyAlignment="1">
      <alignment vertical="center"/>
    </xf>
    <xf numFmtId="167" fontId="6" fillId="3" borderId="15" xfId="1227" applyNumberFormat="1" applyFont="1" applyFill="1" applyBorder="1" applyAlignment="1">
      <alignment vertical="center" wrapText="1"/>
    </xf>
    <xf numFmtId="167" fontId="6" fillId="2" borderId="20" xfId="1227" applyNumberFormat="1" applyFont="1" applyFill="1" applyBorder="1" applyAlignment="1">
      <alignment horizontal="right" vertical="center" wrapText="1"/>
    </xf>
    <xf numFmtId="167" fontId="4" fillId="2" borderId="21" xfId="1247" applyNumberFormat="1" applyFont="1" applyFill="1" applyBorder="1" applyAlignment="1">
      <alignment horizontal="right" vertical="center" wrapText="1"/>
    </xf>
    <xf numFmtId="167" fontId="6" fillId="3" borderId="15" xfId="1247" applyNumberFormat="1" applyFont="1" applyFill="1" applyBorder="1" applyAlignment="1">
      <alignment horizontal="right" vertical="center" wrapText="1"/>
    </xf>
    <xf numFmtId="167" fontId="4" fillId="2" borderId="20" xfId="1227" applyNumberFormat="1" applyFont="1" applyFill="1" applyBorder="1" applyAlignment="1">
      <alignment horizontal="right" vertical="center" wrapText="1"/>
    </xf>
    <xf numFmtId="167" fontId="6" fillId="2" borderId="21" xfId="1247" applyNumberFormat="1" applyFont="1" applyFill="1" applyBorder="1" applyAlignment="1">
      <alignment horizontal="right" vertical="center" wrapText="1"/>
    </xf>
    <xf numFmtId="165" fontId="0" fillId="0" borderId="0" xfId="1247" applyFont="1"/>
    <xf numFmtId="165" fontId="4" fillId="2" borderId="23" xfId="1226" applyFont="1" applyFill="1" applyBorder="1" applyAlignment="1">
      <alignment horizontal="center" vertical="center" wrapText="1"/>
    </xf>
    <xf numFmtId="43" fontId="4" fillId="2" borderId="37" xfId="1227" applyFont="1" applyFill="1" applyBorder="1" applyAlignment="1">
      <alignment horizontal="center" vertical="center" wrapText="1"/>
    </xf>
    <xf numFmtId="167" fontId="6" fillId="2" borderId="19" xfId="1227" applyNumberFormat="1" applyFont="1" applyFill="1" applyBorder="1" applyAlignment="1">
      <alignment vertical="center" wrapText="1"/>
    </xf>
    <xf numFmtId="167" fontId="4" fillId="2" borderId="0" xfId="0" applyNumberFormat="1" applyFont="1" applyFill="1" applyBorder="1" applyAlignment="1">
      <alignment horizontal="center" vertical="center" wrapText="1"/>
    </xf>
    <xf numFmtId="167" fontId="4" fillId="2" borderId="18" xfId="18" applyNumberFormat="1" applyFont="1" applyFill="1" applyBorder="1" applyAlignment="1">
      <alignment horizontal="right" vertical="center" wrapText="1"/>
    </xf>
    <xf numFmtId="0" fontId="34" fillId="2" borderId="0" xfId="0" applyFont="1" applyFill="1"/>
    <xf numFmtId="0" fontId="35" fillId="7" borderId="4" xfId="0" applyFont="1" applyFill="1" applyBorder="1" applyAlignment="1">
      <alignment vertical="center"/>
    </xf>
    <xf numFmtId="0" fontId="35" fillId="7" borderId="5" xfId="0" applyFont="1" applyFill="1" applyBorder="1" applyAlignment="1">
      <alignment vertical="center"/>
    </xf>
    <xf numFmtId="0" fontId="35" fillId="7" borderId="13" xfId="0" applyFont="1" applyFill="1" applyBorder="1" applyAlignment="1">
      <alignment vertical="center"/>
    </xf>
    <xf numFmtId="0" fontId="41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167" fontId="0" fillId="0" borderId="18" xfId="1247" applyNumberFormat="1" applyFont="1" applyBorder="1"/>
    <xf numFmtId="167" fontId="0" fillId="0" borderId="18" xfId="16" applyNumberFormat="1" applyFont="1" applyBorder="1"/>
    <xf numFmtId="167" fontId="18" fillId="2" borderId="19" xfId="0" applyNumberFormat="1" applyFont="1" applyFill="1" applyBorder="1"/>
    <xf numFmtId="167" fontId="4" fillId="2" borderId="33" xfId="1247" applyNumberFormat="1" applyFont="1" applyFill="1" applyBorder="1" applyAlignment="1">
      <alignment horizontal="center" vertical="center" wrapText="1"/>
    </xf>
    <xf numFmtId="43" fontId="4" fillId="2" borderId="19" xfId="1227" applyNumberFormat="1" applyFont="1" applyFill="1" applyBorder="1" applyAlignment="1">
      <alignment horizontal="center" vertical="center" wrapText="1"/>
    </xf>
    <xf numFmtId="167" fontId="4" fillId="2" borderId="4" xfId="1247" applyNumberFormat="1" applyFont="1" applyFill="1" applyBorder="1" applyAlignment="1">
      <alignment vertical="center" wrapText="1"/>
    </xf>
    <xf numFmtId="9" fontId="4" fillId="2" borderId="5" xfId="1250" applyFont="1" applyFill="1" applyBorder="1" applyAlignment="1">
      <alignment vertical="center" wrapText="1"/>
    </xf>
    <xf numFmtId="167" fontId="4" fillId="3" borderId="8" xfId="1247" applyNumberFormat="1" applyFont="1" applyFill="1" applyBorder="1" applyAlignment="1">
      <alignment vertical="center"/>
    </xf>
    <xf numFmtId="9" fontId="4" fillId="3" borderId="0" xfId="1250" applyFont="1" applyFill="1" applyBorder="1" applyAlignment="1">
      <alignment vertical="center"/>
    </xf>
    <xf numFmtId="167" fontId="4" fillId="3" borderId="8" xfId="1247" applyNumberFormat="1" applyFont="1" applyFill="1" applyBorder="1" applyAlignment="1">
      <alignment vertical="center" wrapText="1"/>
    </xf>
    <xf numFmtId="9" fontId="4" fillId="3" borderId="0" xfId="1250" applyFont="1" applyFill="1" applyBorder="1" applyAlignment="1">
      <alignment vertical="center" wrapText="1"/>
    </xf>
    <xf numFmtId="167" fontId="4" fillId="2" borderId="6" xfId="1247" applyNumberFormat="1" applyFont="1" applyFill="1" applyBorder="1" applyAlignment="1">
      <alignment vertical="center" wrapText="1"/>
    </xf>
    <xf numFmtId="9" fontId="4" fillId="2" borderId="7" xfId="1250" applyFont="1" applyFill="1" applyBorder="1" applyAlignment="1">
      <alignment horizontal="right" vertical="center" wrapText="1"/>
    </xf>
    <xf numFmtId="167" fontId="4" fillId="2" borderId="2" xfId="1247" applyNumberFormat="1" applyFont="1" applyFill="1" applyBorder="1" applyAlignment="1">
      <alignment horizontal="right" vertical="center" wrapText="1"/>
    </xf>
    <xf numFmtId="9" fontId="4" fillId="2" borderId="3" xfId="1250" applyFont="1" applyFill="1" applyBorder="1" applyAlignment="1">
      <alignment horizontal="right" vertical="center" wrapText="1"/>
    </xf>
    <xf numFmtId="167" fontId="4" fillId="3" borderId="8" xfId="1247" applyNumberFormat="1" applyFont="1" applyFill="1" applyBorder="1" applyAlignment="1">
      <alignment horizontal="right" vertical="center" wrapText="1"/>
    </xf>
    <xf numFmtId="9" fontId="4" fillId="3" borderId="0" xfId="1250" applyFont="1" applyFill="1" applyBorder="1" applyAlignment="1">
      <alignment horizontal="right" vertical="center" wrapText="1"/>
    </xf>
    <xf numFmtId="167" fontId="4" fillId="2" borderId="6" xfId="1247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165" fontId="4" fillId="2" borderId="55" xfId="1247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165" fontId="4" fillId="2" borderId="56" xfId="1247" applyFont="1" applyFill="1" applyBorder="1" applyAlignment="1">
      <alignment horizontal="center" vertical="center" wrapText="1"/>
    </xf>
    <xf numFmtId="171" fontId="4" fillId="2" borderId="48" xfId="1227" applyNumberFormat="1" applyFont="1" applyFill="1" applyBorder="1" applyAlignment="1">
      <alignment horizontal="center" vertical="center" wrapText="1"/>
    </xf>
    <xf numFmtId="171" fontId="4" fillId="2" borderId="23" xfId="1227" applyNumberFormat="1" applyFont="1" applyFill="1" applyBorder="1" applyAlignment="1">
      <alignment horizontal="center" vertical="center" wrapText="1"/>
    </xf>
    <xf numFmtId="171" fontId="4" fillId="2" borderId="25" xfId="1227" applyNumberFormat="1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43" fontId="6" fillId="2" borderId="49" xfId="1227" applyFont="1" applyFill="1" applyBorder="1" applyAlignment="1">
      <alignment horizontal="center" vertical="center" wrapText="1"/>
    </xf>
    <xf numFmtId="43" fontId="6" fillId="2" borderId="15" xfId="1227" applyFont="1" applyFill="1" applyBorder="1" applyAlignment="1">
      <alignment horizontal="center" vertical="center" wrapText="1"/>
    </xf>
    <xf numFmtId="167" fontId="4" fillId="2" borderId="48" xfId="1247" applyNumberFormat="1" applyFont="1" applyFill="1" applyBorder="1" applyAlignment="1">
      <alignment horizontal="center" vertical="center" wrapText="1"/>
    </xf>
    <xf numFmtId="167" fontId="4" fillId="2" borderId="25" xfId="1247" applyNumberFormat="1" applyFont="1" applyFill="1" applyBorder="1" applyAlignment="1">
      <alignment horizontal="center" vertical="center" wrapText="1"/>
    </xf>
    <xf numFmtId="165" fontId="4" fillId="2" borderId="48" xfId="1247" applyFont="1" applyFill="1" applyBorder="1" applyAlignment="1">
      <alignment horizontal="center" vertical="center" wrapText="1"/>
    </xf>
    <xf numFmtId="165" fontId="4" fillId="2" borderId="58" xfId="16" applyFont="1" applyFill="1" applyBorder="1" applyAlignment="1">
      <alignment horizontal="center" vertical="center" wrapText="1"/>
    </xf>
    <xf numFmtId="165" fontId="14" fillId="2" borderId="19" xfId="16" applyFont="1" applyFill="1" applyBorder="1" applyAlignment="1">
      <alignment horizontal="center" vertical="center" wrapText="1"/>
    </xf>
    <xf numFmtId="165" fontId="4" fillId="2" borderId="8" xfId="16" applyFont="1" applyFill="1" applyBorder="1" applyAlignment="1">
      <alignment vertical="center"/>
    </xf>
    <xf numFmtId="165" fontId="8" fillId="0" borderId="4" xfId="16" applyFont="1" applyBorder="1" applyAlignment="1">
      <alignment horizontal="left" vertical="center"/>
    </xf>
    <xf numFmtId="167" fontId="8" fillId="0" borderId="13" xfId="16" applyNumberFormat="1" applyFont="1" applyBorder="1" applyAlignment="1">
      <alignment horizontal="left" vertical="center"/>
    </xf>
    <xf numFmtId="167" fontId="4" fillId="4" borderId="14" xfId="1247" applyNumberFormat="1" applyFont="1" applyFill="1" applyBorder="1" applyAlignment="1">
      <alignment horizontal="center" vertical="center" wrapText="1"/>
    </xf>
    <xf numFmtId="43" fontId="6" fillId="4" borderId="10" xfId="1227" applyFont="1" applyFill="1" applyBorder="1" applyAlignment="1">
      <alignment horizontal="center" vertical="center" wrapText="1"/>
    </xf>
    <xf numFmtId="165" fontId="4" fillId="4" borderId="17" xfId="1247" applyNumberFormat="1" applyFont="1" applyFill="1" applyBorder="1" applyAlignment="1">
      <alignment horizontal="center" vertical="center" wrapText="1"/>
    </xf>
    <xf numFmtId="43" fontId="6" fillId="2" borderId="27" xfId="1227" applyFont="1" applyFill="1" applyBorder="1" applyAlignment="1">
      <alignment horizontal="center" vertical="center" wrapText="1"/>
    </xf>
    <xf numFmtId="43" fontId="6" fillId="2" borderId="59" xfId="1227" applyFont="1" applyFill="1" applyBorder="1" applyAlignment="1">
      <alignment horizontal="center" vertical="center" wrapText="1"/>
    </xf>
    <xf numFmtId="167" fontId="4" fillId="2" borderId="55" xfId="1247" applyNumberFormat="1" applyFont="1" applyFill="1" applyBorder="1" applyAlignment="1">
      <alignment horizontal="center" vertical="center" wrapText="1"/>
    </xf>
    <xf numFmtId="43" fontId="4" fillId="2" borderId="48" xfId="1227" applyFont="1" applyFill="1" applyBorder="1" applyAlignment="1">
      <alignment horizontal="center" vertical="center" wrapText="1"/>
    </xf>
    <xf numFmtId="166" fontId="6" fillId="4" borderId="45" xfId="0" applyNumberFormat="1" applyFont="1" applyFill="1" applyBorder="1" applyAlignment="1">
      <alignment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vertical="center" wrapText="1"/>
    </xf>
    <xf numFmtId="166" fontId="40" fillId="2" borderId="32" xfId="0" applyNumberFormat="1" applyFont="1" applyFill="1" applyBorder="1" applyAlignment="1">
      <alignment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43" fontId="4" fillId="2" borderId="18" xfId="1227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43" fontId="4" fillId="2" borderId="26" xfId="1227" applyFont="1" applyFill="1" applyBorder="1" applyAlignment="1" applyProtection="1">
      <alignment horizontal="center" vertical="center" wrapText="1"/>
      <protection/>
    </xf>
    <xf numFmtId="165" fontId="4" fillId="2" borderId="18" xfId="1247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5" fontId="4" fillId="2" borderId="23" xfId="1247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2" fontId="6" fillId="2" borderId="24" xfId="0" applyNumberFormat="1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167" fontId="4" fillId="3" borderId="0" xfId="16" applyNumberFormat="1" applyFont="1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43" fontId="6" fillId="2" borderId="21" xfId="1227" applyFont="1" applyFill="1" applyBorder="1" applyAlignment="1">
      <alignment horizontal="center" vertical="center" wrapText="1"/>
    </xf>
    <xf numFmtId="49" fontId="6" fillId="2" borderId="56" xfId="0" applyNumberFormat="1" applyFont="1" applyFill="1" applyBorder="1" applyAlignment="1">
      <alignment horizontal="center" vertical="center" wrapText="1"/>
    </xf>
    <xf numFmtId="165" fontId="7" fillId="5" borderId="11" xfId="1247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166" fontId="9" fillId="2" borderId="9" xfId="0" applyNumberFormat="1" applyFont="1" applyFill="1" applyBorder="1" applyAlignment="1">
      <alignment vertical="center" wrapText="1"/>
    </xf>
    <xf numFmtId="43" fontId="4" fillId="2" borderId="62" xfId="1227" applyFont="1" applyFill="1" applyBorder="1" applyAlignment="1">
      <alignment horizontal="center" vertical="center" wrapText="1"/>
    </xf>
    <xf numFmtId="43" fontId="4" fillId="2" borderId="9" xfId="1227" applyFont="1" applyFill="1" applyBorder="1" applyAlignment="1">
      <alignment horizontal="center" vertical="center" wrapText="1"/>
    </xf>
    <xf numFmtId="43" fontId="6" fillId="2" borderId="63" xfId="1227" applyFont="1" applyFill="1" applyBorder="1" applyAlignment="1">
      <alignment horizontal="center" vertical="center" wrapText="1"/>
    </xf>
    <xf numFmtId="43" fontId="4" fillId="2" borderId="63" xfId="1227" applyFont="1" applyFill="1" applyBorder="1" applyAlignment="1">
      <alignment horizontal="center" vertical="center" wrapText="1"/>
    </xf>
    <xf numFmtId="43" fontId="6" fillId="2" borderId="62" xfId="1227" applyFont="1" applyFill="1" applyBorder="1" applyAlignment="1">
      <alignment horizontal="center" vertical="center" wrapText="1"/>
    </xf>
    <xf numFmtId="43" fontId="6" fillId="2" borderId="9" xfId="1227" applyFont="1" applyFill="1" applyBorder="1" applyAlignment="1">
      <alignment vertical="center" wrapText="1"/>
    </xf>
    <xf numFmtId="43" fontId="6" fillId="2" borderId="63" xfId="0" applyNumberFormat="1" applyFont="1" applyFill="1" applyBorder="1" applyAlignment="1">
      <alignment vertical="center" wrapText="1"/>
    </xf>
    <xf numFmtId="43" fontId="6" fillId="2" borderId="64" xfId="0" applyNumberFormat="1" applyFont="1" applyFill="1" applyBorder="1" applyAlignment="1">
      <alignment vertical="center" wrapText="1"/>
    </xf>
    <xf numFmtId="165" fontId="4" fillId="2" borderId="14" xfId="1247" applyFont="1" applyFill="1" applyBorder="1" applyAlignment="1">
      <alignment horizontal="center" vertical="center" wrapText="1"/>
    </xf>
    <xf numFmtId="165" fontId="4" fillId="2" borderId="17" xfId="1247" applyFont="1" applyFill="1" applyBorder="1" applyAlignment="1">
      <alignment horizontal="center" vertical="center" wrapText="1"/>
    </xf>
    <xf numFmtId="165" fontId="4" fillId="3" borderId="14" xfId="1247" applyFont="1" applyFill="1" applyBorder="1" applyAlignment="1">
      <alignment horizontal="center" vertical="center" wrapText="1"/>
    </xf>
    <xf numFmtId="165" fontId="4" fillId="3" borderId="17" xfId="1247" applyFont="1" applyFill="1" applyBorder="1" applyAlignment="1">
      <alignment horizontal="center" vertical="center" wrapText="1"/>
    </xf>
    <xf numFmtId="167" fontId="4" fillId="2" borderId="18" xfId="1227" applyNumberFormat="1" applyFont="1" applyFill="1" applyBorder="1" applyAlignment="1">
      <alignment horizontal="center" vertical="center" wrapText="1"/>
    </xf>
    <xf numFmtId="166" fontId="4" fillId="2" borderId="21" xfId="0" applyNumberFormat="1" applyFont="1" applyFill="1" applyBorder="1" applyAlignment="1">
      <alignment vertical="center" wrapText="1"/>
    </xf>
    <xf numFmtId="167" fontId="6" fillId="2" borderId="21" xfId="1227" applyNumberFormat="1" applyFont="1" applyFill="1" applyBorder="1" applyAlignment="1">
      <alignment horizontal="center" vertical="center" wrapText="1"/>
    </xf>
    <xf numFmtId="167" fontId="4" fillId="2" borderId="23" xfId="1227" applyNumberFormat="1" applyFont="1" applyFill="1" applyBorder="1" applyAlignment="1">
      <alignment horizontal="center" vertical="center" wrapText="1"/>
    </xf>
    <xf numFmtId="167" fontId="6" fillId="2" borderId="23" xfId="1227" applyNumberFormat="1" applyFont="1" applyFill="1" applyBorder="1" applyAlignment="1">
      <alignment vertical="center" wrapText="1"/>
    </xf>
    <xf numFmtId="0" fontId="0" fillId="0" borderId="0" xfId="0" applyFill="1"/>
    <xf numFmtId="167" fontId="6" fillId="2" borderId="0" xfId="1227" applyNumberFormat="1" applyFont="1" applyFill="1" applyBorder="1" applyAlignment="1">
      <alignment horizontal="center" vertical="center" wrapText="1"/>
    </xf>
    <xf numFmtId="43" fontId="6" fillId="2" borderId="1" xfId="1227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/>
    </xf>
    <xf numFmtId="43" fontId="6" fillId="4" borderId="17" xfId="1227" applyFont="1" applyFill="1" applyBorder="1" applyAlignment="1">
      <alignment vertical="center" wrapText="1"/>
    </xf>
    <xf numFmtId="43" fontId="6" fillId="4" borderId="24" xfId="0" applyNumberFormat="1" applyFont="1" applyFill="1" applyBorder="1" applyAlignment="1">
      <alignment vertical="center" wrapText="1"/>
    </xf>
    <xf numFmtId="43" fontId="6" fillId="2" borderId="18" xfId="1227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165" fontId="4" fillId="2" borderId="44" xfId="1226" applyFont="1" applyFill="1" applyBorder="1" applyAlignment="1">
      <alignment horizontal="center" vertical="center" wrapText="1"/>
    </xf>
    <xf numFmtId="167" fontId="6" fillId="2" borderId="13" xfId="1227" applyNumberFormat="1" applyFont="1" applyFill="1" applyBorder="1" applyAlignment="1">
      <alignment horizontal="center" vertical="center" wrapText="1"/>
    </xf>
    <xf numFmtId="165" fontId="7" fillId="5" borderId="65" xfId="1247" applyFont="1" applyFill="1" applyBorder="1" applyAlignment="1">
      <alignment horizontal="center" vertical="center" wrapText="1"/>
    </xf>
    <xf numFmtId="43" fontId="4" fillId="4" borderId="46" xfId="1227" applyFont="1" applyFill="1" applyBorder="1" applyAlignment="1">
      <alignment horizontal="center" vertical="center" wrapText="1"/>
    </xf>
    <xf numFmtId="167" fontId="6" fillId="4" borderId="34" xfId="0" applyNumberFormat="1" applyFont="1" applyFill="1" applyBorder="1" applyAlignment="1">
      <alignment vertical="center" wrapText="1"/>
    </xf>
    <xf numFmtId="165" fontId="4" fillId="4" borderId="34" xfId="1247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43" fontId="4" fillId="2" borderId="54" xfId="1227" applyFont="1" applyFill="1" applyBorder="1" applyAlignment="1">
      <alignment horizontal="center" vertical="center" wrapText="1"/>
    </xf>
    <xf numFmtId="43" fontId="6" fillId="2" borderId="48" xfId="1227" applyFont="1" applyFill="1" applyBorder="1" applyAlignment="1">
      <alignment horizontal="center" vertical="center" wrapText="1"/>
    </xf>
    <xf numFmtId="175" fontId="4" fillId="2" borderId="19" xfId="1227" applyNumberFormat="1" applyFont="1" applyFill="1" applyBorder="1" applyAlignment="1">
      <alignment horizontal="center" vertical="center" wrapText="1"/>
    </xf>
    <xf numFmtId="167" fontId="6" fillId="2" borderId="27" xfId="1227" applyNumberFormat="1" applyFont="1" applyFill="1" applyBorder="1" applyAlignment="1">
      <alignment horizontal="center" vertical="center" wrapText="1"/>
    </xf>
    <xf numFmtId="165" fontId="4" fillId="2" borderId="36" xfId="1247" applyFont="1" applyFill="1" applyBorder="1" applyAlignment="1">
      <alignment horizontal="center" vertical="center" wrapText="1"/>
    </xf>
    <xf numFmtId="43" fontId="4" fillId="2" borderId="32" xfId="1227" applyFont="1" applyFill="1" applyBorder="1" applyAlignment="1">
      <alignment horizontal="center" vertical="center" wrapText="1"/>
    </xf>
    <xf numFmtId="165" fontId="4" fillId="2" borderId="35" xfId="1247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43" fontId="4" fillId="2" borderId="2" xfId="1227" applyFont="1" applyFill="1" applyBorder="1" applyAlignment="1">
      <alignment horizontal="center" vertical="center" wrapText="1"/>
    </xf>
    <xf numFmtId="165" fontId="4" fillId="2" borderId="21" xfId="1247" applyFont="1" applyFill="1" applyBorder="1" applyAlignment="1">
      <alignment horizontal="center" vertical="center" wrapText="1"/>
    </xf>
    <xf numFmtId="175" fontId="4" fillId="4" borderId="17" xfId="1227" applyNumberFormat="1" applyFont="1" applyFill="1" applyBorder="1" applyAlignment="1">
      <alignment horizontal="center" vertical="center" wrapText="1"/>
    </xf>
    <xf numFmtId="175" fontId="4" fillId="2" borderId="18" xfId="1227" applyNumberFormat="1" applyFont="1" applyFill="1" applyBorder="1" applyAlignment="1">
      <alignment horizontal="center" vertical="center" wrapText="1"/>
    </xf>
    <xf numFmtId="43" fontId="4" fillId="2" borderId="3" xfId="1227" applyFont="1" applyFill="1" applyBorder="1" applyAlignment="1">
      <alignment horizontal="center" vertical="center" wrapText="1"/>
    </xf>
    <xf numFmtId="43" fontId="4" fillId="2" borderId="47" xfId="1227" applyFont="1" applyFill="1" applyBorder="1" applyAlignment="1">
      <alignment horizontal="center" vertical="center" wrapText="1"/>
    </xf>
    <xf numFmtId="175" fontId="4" fillId="2" borderId="31" xfId="1227" applyNumberFormat="1" applyFont="1" applyFill="1" applyBorder="1" applyAlignment="1">
      <alignment horizontal="center" vertical="center" wrapText="1"/>
    </xf>
    <xf numFmtId="175" fontId="4" fillId="0" borderId="18" xfId="1227" applyNumberFormat="1" applyFont="1" applyFill="1" applyBorder="1" applyAlignment="1">
      <alignment horizontal="center" vertical="center" wrapText="1"/>
    </xf>
    <xf numFmtId="43" fontId="6" fillId="0" borderId="35" xfId="1227" applyFont="1" applyFill="1" applyBorder="1" applyAlignment="1">
      <alignment horizontal="center" vertical="center" wrapText="1"/>
    </xf>
    <xf numFmtId="43" fontId="4" fillId="0" borderId="18" xfId="1227" applyFont="1" applyFill="1" applyBorder="1" applyAlignment="1">
      <alignment horizontal="center" vertical="center" wrapText="1"/>
    </xf>
    <xf numFmtId="167" fontId="6" fillId="0" borderId="18" xfId="1227" applyNumberFormat="1" applyFont="1" applyFill="1" applyBorder="1" applyAlignment="1">
      <alignment vertical="center" wrapText="1"/>
    </xf>
    <xf numFmtId="167" fontId="6" fillId="0" borderId="25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5" fontId="17" fillId="0" borderId="0" xfId="1247" applyFont="1"/>
    <xf numFmtId="0" fontId="6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43" fontId="6" fillId="3" borderId="3" xfId="0" applyNumberFormat="1" applyFont="1" applyFill="1" applyBorder="1" applyAlignment="1">
      <alignment vertical="center"/>
    </xf>
    <xf numFmtId="167" fontId="4" fillId="2" borderId="31" xfId="1226" applyNumberFormat="1" applyFont="1" applyFill="1" applyBorder="1" applyAlignment="1">
      <alignment horizontal="center" vertical="center" wrapText="1"/>
    </xf>
    <xf numFmtId="43" fontId="6" fillId="2" borderId="23" xfId="1227" applyFont="1" applyFill="1" applyBorder="1" applyAlignment="1">
      <alignment vertical="center" wrapText="1"/>
    </xf>
    <xf numFmtId="0" fontId="42" fillId="2" borderId="0" xfId="0" applyFont="1" applyFill="1" applyAlignment="1">
      <alignment horizontal="center" vertical="center" wrapText="1"/>
    </xf>
    <xf numFmtId="165" fontId="17" fillId="2" borderId="3" xfId="1247" applyFont="1" applyFill="1" applyBorder="1"/>
    <xf numFmtId="165" fontId="0" fillId="2" borderId="3" xfId="1247" applyFont="1" applyFill="1" applyBorder="1"/>
    <xf numFmtId="0" fontId="0" fillId="2" borderId="3" xfId="0" applyFill="1" applyBorder="1"/>
    <xf numFmtId="167" fontId="4" fillId="2" borderId="14" xfId="1247" applyNumberFormat="1" applyFont="1" applyFill="1" applyBorder="1" applyAlignment="1">
      <alignment horizontal="center" vertical="center" wrapText="1"/>
    </xf>
    <xf numFmtId="165" fontId="4" fillId="2" borderId="33" xfId="1247" applyFont="1" applyFill="1" applyBorder="1" applyAlignment="1">
      <alignment horizontal="center" vertical="center" wrapText="1"/>
    </xf>
    <xf numFmtId="49" fontId="6" fillId="2" borderId="66" xfId="0" applyNumberFormat="1" applyFont="1" applyFill="1" applyBorder="1" applyAlignment="1">
      <alignment horizontal="center" vertical="center" wrapText="1"/>
    </xf>
    <xf numFmtId="0" fontId="35" fillId="2" borderId="8" xfId="0" applyFont="1" applyFill="1" applyBorder="1"/>
    <xf numFmtId="0" fontId="35" fillId="2" borderId="0" xfId="0" applyFont="1" applyFill="1"/>
    <xf numFmtId="0" fontId="35" fillId="0" borderId="0" xfId="0" applyFont="1"/>
    <xf numFmtId="0" fontId="6" fillId="4" borderId="47" xfId="0" applyFont="1" applyFill="1" applyBorder="1" applyAlignment="1">
      <alignment horizontal="center" vertical="center" wrapText="1"/>
    </xf>
    <xf numFmtId="166" fontId="6" fillId="4" borderId="23" xfId="0" applyNumberFormat="1" applyFont="1" applyFill="1" applyBorder="1" applyAlignment="1">
      <alignment horizontal="left" vertical="center" wrapText="1"/>
    </xf>
    <xf numFmtId="43" fontId="6" fillId="4" borderId="67" xfId="1227" applyFont="1" applyFill="1" applyBorder="1" applyAlignment="1">
      <alignment horizontal="center" vertical="center" wrapText="1"/>
    </xf>
    <xf numFmtId="43" fontId="6" fillId="4" borderId="68" xfId="1227" applyNumberFormat="1" applyFont="1" applyFill="1" applyBorder="1" applyAlignment="1">
      <alignment horizontal="center" vertical="center" wrapText="1"/>
    </xf>
    <xf numFmtId="43" fontId="6" fillId="4" borderId="69" xfId="1227" applyFont="1" applyFill="1" applyBorder="1" applyAlignment="1">
      <alignment horizontal="center" vertical="center" wrapText="1"/>
    </xf>
    <xf numFmtId="167" fontId="4" fillId="4" borderId="70" xfId="1247" applyNumberFormat="1" applyFont="1" applyFill="1" applyBorder="1" applyAlignment="1">
      <alignment horizontal="center" vertical="center" wrapText="1"/>
    </xf>
    <xf numFmtId="167" fontId="6" fillId="4" borderId="70" xfId="1227" applyNumberFormat="1" applyFont="1" applyFill="1" applyBorder="1" applyAlignment="1">
      <alignment horizontal="center" vertical="center" wrapText="1"/>
    </xf>
    <xf numFmtId="167" fontId="6" fillId="4" borderId="41" xfId="1227" applyNumberFormat="1" applyFont="1" applyFill="1" applyBorder="1" applyAlignment="1">
      <alignment vertical="center" wrapText="1"/>
    </xf>
    <xf numFmtId="165" fontId="4" fillId="4" borderId="11" xfId="1247" applyFont="1" applyFill="1" applyBorder="1" applyAlignment="1">
      <alignment horizontal="center" vertical="center" wrapText="1"/>
    </xf>
    <xf numFmtId="165" fontId="4" fillId="4" borderId="71" xfId="1247" applyFont="1" applyFill="1" applyBorder="1" applyAlignment="1">
      <alignment horizontal="center" vertical="center" wrapText="1"/>
    </xf>
    <xf numFmtId="165" fontId="4" fillId="4" borderId="12" xfId="1247" applyFont="1" applyFill="1" applyBorder="1" applyAlignment="1">
      <alignment horizontal="center" vertical="center" wrapText="1"/>
    </xf>
    <xf numFmtId="167" fontId="4" fillId="4" borderId="71" xfId="1247" applyNumberFormat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166" fontId="6" fillId="4" borderId="18" xfId="0" applyNumberFormat="1" applyFont="1" applyFill="1" applyBorder="1" applyAlignment="1">
      <alignment horizontal="left" vertical="center" wrapText="1"/>
    </xf>
    <xf numFmtId="43" fontId="6" fillId="4" borderId="51" xfId="1227" applyFont="1" applyFill="1" applyBorder="1" applyAlignment="1">
      <alignment horizontal="center" vertical="center" wrapText="1"/>
    </xf>
    <xf numFmtId="43" fontId="4" fillId="4" borderId="72" xfId="1227" applyNumberFormat="1" applyFont="1" applyFill="1" applyBorder="1" applyAlignment="1">
      <alignment horizontal="center" vertical="center" wrapText="1"/>
    </xf>
    <xf numFmtId="43" fontId="6" fillId="4" borderId="73" xfId="1227" applyFont="1" applyFill="1" applyBorder="1" applyAlignment="1">
      <alignment horizontal="center" vertical="center" wrapText="1"/>
    </xf>
    <xf numFmtId="167" fontId="4" fillId="4" borderId="72" xfId="1247" applyNumberFormat="1" applyFont="1" applyFill="1" applyBorder="1" applyAlignment="1">
      <alignment horizontal="center" vertical="center" wrapText="1"/>
    </xf>
    <xf numFmtId="167" fontId="6" fillId="4" borderId="72" xfId="1227" applyNumberFormat="1" applyFont="1" applyFill="1" applyBorder="1" applyAlignment="1">
      <alignment horizontal="center" vertical="center" wrapText="1"/>
    </xf>
    <xf numFmtId="167" fontId="6" fillId="4" borderId="52" xfId="1227" applyNumberFormat="1" applyFont="1" applyFill="1" applyBorder="1" applyAlignment="1">
      <alignment vertical="center" wrapText="1"/>
    </xf>
    <xf numFmtId="165" fontId="4" fillId="4" borderId="22" xfId="1247" applyFont="1" applyFill="1" applyBorder="1" applyAlignment="1">
      <alignment horizontal="center" vertical="center" wrapText="1"/>
    </xf>
    <xf numFmtId="165" fontId="4" fillId="4" borderId="72" xfId="1247" applyFont="1" applyFill="1" applyBorder="1" applyAlignment="1">
      <alignment horizontal="center" vertical="center" wrapText="1"/>
    </xf>
    <xf numFmtId="165" fontId="42" fillId="4" borderId="52" xfId="1247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43" fontId="6" fillId="2" borderId="51" xfId="1227" applyFont="1" applyFill="1" applyBorder="1" applyAlignment="1">
      <alignment horizontal="center" vertical="center" wrapText="1"/>
    </xf>
    <xf numFmtId="171" fontId="4" fillId="2" borderId="1" xfId="1227" applyNumberFormat="1" applyFont="1" applyFill="1" applyBorder="1" applyAlignment="1">
      <alignment horizontal="center" vertical="center" wrapText="1"/>
    </xf>
    <xf numFmtId="167" fontId="4" fillId="2" borderId="1" xfId="1247" applyNumberFormat="1" applyFont="1" applyFill="1" applyBorder="1" applyAlignment="1">
      <alignment horizontal="center" vertical="center" wrapText="1"/>
    </xf>
    <xf numFmtId="167" fontId="6" fillId="2" borderId="1" xfId="1227" applyNumberFormat="1" applyFont="1" applyFill="1" applyBorder="1" applyAlignment="1">
      <alignment horizontal="center" vertical="center" wrapText="1"/>
    </xf>
    <xf numFmtId="167" fontId="4" fillId="2" borderId="1" xfId="1226" applyNumberFormat="1" applyFont="1" applyFill="1" applyBorder="1" applyAlignment="1">
      <alignment horizontal="center" vertical="center" wrapText="1"/>
    </xf>
    <xf numFmtId="167" fontId="6" fillId="2" borderId="27" xfId="1227" applyNumberFormat="1" applyFont="1" applyFill="1" applyBorder="1" applyAlignment="1">
      <alignment vertical="center" wrapText="1"/>
    </xf>
    <xf numFmtId="165" fontId="4" fillId="2" borderId="26" xfId="1226" applyFont="1" applyFill="1" applyBorder="1" applyAlignment="1">
      <alignment horizontal="center" vertical="center" wrapText="1"/>
    </xf>
    <xf numFmtId="165" fontId="4" fillId="2" borderId="1" xfId="1247" applyFont="1" applyFill="1" applyBorder="1" applyAlignment="1">
      <alignment horizontal="center" vertical="center" wrapText="1"/>
    </xf>
    <xf numFmtId="165" fontId="4" fillId="2" borderId="27" xfId="1247" applyFont="1" applyFill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 vertical="center" wrapText="1"/>
    </xf>
    <xf numFmtId="43" fontId="4" fillId="2" borderId="1" xfId="1227" applyNumberFormat="1" applyFont="1" applyFill="1" applyBorder="1" applyAlignment="1">
      <alignment horizontal="center" vertical="center" wrapText="1"/>
    </xf>
    <xf numFmtId="43" fontId="4" fillId="2" borderId="1" xfId="1227" applyFont="1" applyFill="1" applyBorder="1" applyAlignment="1">
      <alignment horizontal="center" vertical="center" wrapText="1"/>
    </xf>
    <xf numFmtId="43" fontId="4" fillId="2" borderId="26" xfId="1227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center" wrapText="1"/>
    </xf>
    <xf numFmtId="2" fontId="6" fillId="2" borderId="30" xfId="0" applyNumberFormat="1" applyFont="1" applyFill="1" applyBorder="1" applyAlignment="1">
      <alignment horizontal="center" vertical="center" wrapText="1"/>
    </xf>
    <xf numFmtId="43" fontId="4" fillId="2" borderId="68" xfId="1227" applyFont="1" applyFill="1" applyBorder="1" applyAlignment="1">
      <alignment horizontal="center" vertical="center" wrapText="1"/>
    </xf>
    <xf numFmtId="43" fontId="6" fillId="2" borderId="68" xfId="1227" applyFont="1" applyFill="1" applyBorder="1" applyAlignment="1">
      <alignment horizontal="center" vertical="center" wrapText="1"/>
    </xf>
    <xf numFmtId="167" fontId="4" fillId="2" borderId="68" xfId="1247" applyNumberFormat="1" applyFont="1" applyFill="1" applyBorder="1" applyAlignment="1">
      <alignment horizontal="center" vertical="center" wrapText="1"/>
    </xf>
    <xf numFmtId="167" fontId="6" fillId="2" borderId="68" xfId="1227" applyNumberFormat="1" applyFont="1" applyFill="1" applyBorder="1" applyAlignment="1">
      <alignment horizontal="center" vertical="center" wrapText="1"/>
    </xf>
    <xf numFmtId="167" fontId="6" fillId="2" borderId="28" xfId="1227" applyNumberFormat="1" applyFont="1" applyFill="1" applyBorder="1" applyAlignment="1">
      <alignment vertical="center" wrapText="1"/>
    </xf>
    <xf numFmtId="43" fontId="4" fillId="2" borderId="58" xfId="1227" applyFont="1" applyFill="1" applyBorder="1" applyAlignment="1">
      <alignment horizontal="center" vertical="center" wrapText="1"/>
    </xf>
    <xf numFmtId="165" fontId="4" fillId="2" borderId="68" xfId="1247" applyFont="1" applyFill="1" applyBorder="1" applyAlignment="1">
      <alignment horizontal="center" vertical="center" wrapText="1"/>
    </xf>
    <xf numFmtId="165" fontId="4" fillId="2" borderId="28" xfId="1247" applyFont="1" applyFill="1" applyBorder="1" applyAlignment="1">
      <alignment horizontal="center" vertical="center" wrapText="1"/>
    </xf>
    <xf numFmtId="165" fontId="4" fillId="2" borderId="58" xfId="1226" applyFont="1" applyFill="1" applyBorder="1" applyAlignment="1">
      <alignment horizontal="center" vertical="center" wrapText="1"/>
    </xf>
    <xf numFmtId="2" fontId="6" fillId="4" borderId="5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165" fontId="4" fillId="4" borderId="52" xfId="1247" applyFont="1" applyFill="1" applyBorder="1" applyAlignment="1">
      <alignment horizontal="center" vertical="center" wrapText="1"/>
    </xf>
    <xf numFmtId="166" fontId="4" fillId="2" borderId="19" xfId="0" applyNumberFormat="1" applyFont="1" applyFill="1" applyBorder="1" applyAlignment="1">
      <alignment horizontal="left" vertical="center" wrapText="1"/>
    </xf>
    <xf numFmtId="43" fontId="6" fillId="2" borderId="66" xfId="1227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43" fontId="4" fillId="2" borderId="68" xfId="1227" applyNumberFormat="1" applyFont="1" applyFill="1" applyBorder="1" applyAlignment="1">
      <alignment horizontal="center" vertical="center" wrapText="1"/>
    </xf>
    <xf numFmtId="43" fontId="6" fillId="2" borderId="69" xfId="1227" applyFont="1" applyFill="1" applyBorder="1" applyAlignment="1">
      <alignment horizontal="center" vertical="center" wrapText="1"/>
    </xf>
    <xf numFmtId="165" fontId="4" fillId="2" borderId="58" xfId="1247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166" fontId="4" fillId="2" borderId="23" xfId="0" applyNumberFormat="1" applyFont="1" applyFill="1" applyBorder="1" applyAlignment="1">
      <alignment horizontal="left" vertical="center" wrapText="1"/>
    </xf>
    <xf numFmtId="2" fontId="6" fillId="2" borderId="67" xfId="0" applyNumberFormat="1" applyFont="1" applyFill="1" applyBorder="1" applyAlignment="1">
      <alignment horizontal="center" vertical="center" wrapText="1"/>
    </xf>
    <xf numFmtId="43" fontId="4" fillId="2" borderId="70" xfId="1227" applyNumberFormat="1" applyFont="1" applyFill="1" applyBorder="1" applyAlignment="1">
      <alignment horizontal="center" vertical="center" wrapText="1"/>
    </xf>
    <xf numFmtId="43" fontId="6" fillId="2" borderId="74" xfId="1227" applyFont="1" applyFill="1" applyBorder="1" applyAlignment="1">
      <alignment horizontal="center" vertical="center" wrapText="1"/>
    </xf>
    <xf numFmtId="167" fontId="4" fillId="2" borderId="70" xfId="1247" applyNumberFormat="1" applyFont="1" applyFill="1" applyBorder="1" applyAlignment="1">
      <alignment horizontal="center" vertical="center" wrapText="1"/>
    </xf>
    <xf numFmtId="167" fontId="6" fillId="2" borderId="70" xfId="1227" applyNumberFormat="1" applyFont="1" applyFill="1" applyBorder="1" applyAlignment="1">
      <alignment horizontal="center" vertical="center" wrapText="1"/>
    </xf>
    <xf numFmtId="167" fontId="6" fillId="2" borderId="41" xfId="1227" applyNumberFormat="1" applyFont="1" applyFill="1" applyBorder="1" applyAlignment="1">
      <alignment vertical="center" wrapText="1"/>
    </xf>
    <xf numFmtId="165" fontId="0" fillId="2" borderId="0" xfId="1247" applyFont="1" applyFill="1"/>
    <xf numFmtId="0" fontId="14" fillId="2" borderId="0" xfId="0" applyFont="1" applyFill="1" applyAlignment="1">
      <alignment horizontal="center" vertical="center"/>
    </xf>
    <xf numFmtId="0" fontId="42" fillId="2" borderId="0" xfId="0" applyFont="1" applyFill="1" applyBorder="1" applyAlignment="1">
      <alignment horizontal="right" vertical="center" wrapText="1"/>
    </xf>
    <xf numFmtId="165" fontId="4" fillId="2" borderId="0" xfId="1247" applyFont="1" applyFill="1" applyBorder="1" applyAlignment="1">
      <alignment horizontal="right" vertical="center" wrapText="1"/>
    </xf>
    <xf numFmtId="165" fontId="0" fillId="2" borderId="0" xfId="1247" applyFont="1" applyFill="1" applyBorder="1"/>
    <xf numFmtId="165" fontId="17" fillId="2" borderId="0" xfId="1247" applyFont="1" applyFill="1"/>
    <xf numFmtId="165" fontId="4" fillId="2" borderId="18" xfId="1247" applyFont="1" applyFill="1" applyBorder="1" applyAlignment="1">
      <alignment horizontal="center" vertical="center" wrapText="1"/>
    </xf>
    <xf numFmtId="165" fontId="4" fillId="2" borderId="23" xfId="1247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165" fontId="4" fillId="2" borderId="18" xfId="1247" applyFont="1" applyFill="1" applyBorder="1" applyAlignment="1">
      <alignment horizontal="center" vertical="center" wrapText="1"/>
    </xf>
    <xf numFmtId="43" fontId="6" fillId="2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3" fontId="4" fillId="0" borderId="2" xfId="1227" applyFont="1" applyFill="1" applyBorder="1" applyAlignment="1">
      <alignment horizontal="center" vertical="center" wrapText="1"/>
    </xf>
    <xf numFmtId="43" fontId="6" fillId="2" borderId="31" xfId="1227" applyFont="1" applyFill="1" applyBorder="1" applyAlignment="1">
      <alignment horizontal="center" vertical="center" wrapText="1"/>
    </xf>
    <xf numFmtId="175" fontId="4" fillId="0" borderId="23" xfId="1227" applyNumberFormat="1" applyFont="1" applyFill="1" applyBorder="1" applyAlignment="1">
      <alignment horizontal="center" vertical="center" wrapText="1"/>
    </xf>
    <xf numFmtId="167" fontId="6" fillId="0" borderId="23" xfId="1227" applyNumberFormat="1" applyFont="1" applyFill="1" applyBorder="1" applyAlignment="1">
      <alignment vertical="center" wrapText="1"/>
    </xf>
    <xf numFmtId="167" fontId="6" fillId="0" borderId="23" xfId="0" applyNumberFormat="1" applyFont="1" applyFill="1" applyBorder="1" applyAlignment="1">
      <alignment vertical="center" wrapText="1"/>
    </xf>
    <xf numFmtId="165" fontId="4" fillId="0" borderId="23" xfId="1226" applyFont="1" applyFill="1" applyBorder="1" applyAlignment="1">
      <alignment horizontal="center" vertical="center" wrapText="1"/>
    </xf>
    <xf numFmtId="165" fontId="4" fillId="0" borderId="21" xfId="1226" applyFont="1" applyFill="1" applyBorder="1" applyAlignment="1">
      <alignment horizontal="center" vertical="center" wrapText="1"/>
    </xf>
    <xf numFmtId="43" fontId="6" fillId="0" borderId="31" xfId="1227" applyFont="1" applyFill="1" applyBorder="1" applyAlignment="1">
      <alignment horizontal="center" vertical="center" wrapText="1"/>
    </xf>
    <xf numFmtId="167" fontId="6" fillId="3" borderId="0" xfId="16" applyNumberFormat="1" applyFont="1" applyFill="1" applyBorder="1" applyAlignment="1">
      <alignment vertical="center"/>
    </xf>
    <xf numFmtId="167" fontId="6" fillId="0" borderId="35" xfId="1227" applyNumberFormat="1" applyFont="1" applyFill="1" applyBorder="1" applyAlignment="1">
      <alignment horizontal="center" vertical="center" wrapText="1"/>
    </xf>
    <xf numFmtId="167" fontId="6" fillId="0" borderId="21" xfId="16" applyNumberFormat="1" applyFont="1" applyFill="1" applyBorder="1" applyAlignment="1">
      <alignment horizontal="center" vertical="center" wrapText="1"/>
    </xf>
    <xf numFmtId="9" fontId="0" fillId="0" borderId="45" xfId="0" applyNumberFormat="1" applyBorder="1"/>
    <xf numFmtId="167" fontId="35" fillId="0" borderId="18" xfId="1247" applyNumberFormat="1" applyFont="1" applyBorder="1"/>
    <xf numFmtId="165" fontId="4" fillId="2" borderId="18" xfId="1247" applyFont="1" applyFill="1" applyBorder="1" applyAlignment="1">
      <alignment horizontal="center" vertical="center" wrapText="1"/>
    </xf>
    <xf numFmtId="165" fontId="4" fillId="2" borderId="23" xfId="1247" applyFont="1" applyFill="1" applyBorder="1" applyAlignment="1">
      <alignment horizontal="center" vertical="center" wrapText="1"/>
    </xf>
    <xf numFmtId="176" fontId="0" fillId="0" borderId="50" xfId="0" applyNumberFormat="1" applyBorder="1"/>
    <xf numFmtId="43" fontId="14" fillId="2" borderId="35" xfId="18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5" fillId="0" borderId="65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164" fontId="17" fillId="0" borderId="4" xfId="1227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5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7" fontId="6" fillId="2" borderId="24" xfId="1227" applyNumberFormat="1" applyFont="1" applyFill="1" applyBorder="1" applyAlignment="1">
      <alignment horizontal="center" vertical="center" wrapText="1"/>
    </xf>
    <xf numFmtId="167" fontId="6" fillId="2" borderId="23" xfId="1227" applyNumberFormat="1" applyFont="1" applyFill="1" applyBorder="1" applyAlignment="1">
      <alignment horizontal="center" vertical="center" wrapText="1"/>
    </xf>
    <xf numFmtId="165" fontId="4" fillId="2" borderId="24" xfId="1247" applyFont="1" applyFill="1" applyBorder="1" applyAlignment="1">
      <alignment horizontal="center" vertical="center" wrapText="1"/>
    </xf>
    <xf numFmtId="165" fontId="4" fillId="2" borderId="18" xfId="1247" applyFont="1" applyFill="1" applyBorder="1" applyAlignment="1">
      <alignment horizontal="center" vertical="center" wrapText="1"/>
    </xf>
    <xf numFmtId="167" fontId="4" fillId="2" borderId="24" xfId="1247" applyNumberFormat="1" applyFont="1" applyFill="1" applyBorder="1" applyAlignment="1">
      <alignment horizontal="center" vertical="center" wrapText="1"/>
    </xf>
    <xf numFmtId="167" fontId="4" fillId="2" borderId="18" xfId="1247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1" fontId="6" fillId="2" borderId="31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 wrapText="1"/>
    </xf>
    <xf numFmtId="2" fontId="6" fillId="2" borderId="37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5" fillId="2" borderId="43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165" fontId="4" fillId="2" borderId="23" xfId="1247" applyFont="1" applyFill="1" applyBorder="1" applyAlignment="1">
      <alignment horizontal="center" vertical="center" wrapText="1"/>
    </xf>
    <xf numFmtId="167" fontId="4" fillId="2" borderId="23" xfId="1247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2" borderId="33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2" fontId="6" fillId="2" borderId="24" xfId="0" applyNumberFormat="1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" fontId="6" fillId="2" borderId="46" xfId="0" applyNumberFormat="1" applyFont="1" applyFill="1" applyBorder="1" applyAlignment="1">
      <alignment horizontal="center" vertical="center" wrapText="1"/>
    </xf>
    <xf numFmtId="1" fontId="6" fillId="2" borderId="54" xfId="0" applyNumberFormat="1" applyFont="1" applyFill="1" applyBorder="1" applyAlignment="1">
      <alignment horizontal="center" vertical="center" wrapText="1"/>
    </xf>
  </cellXfs>
  <cellStyles count="13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Normal 2" xfId="508"/>
    <cellStyle name="Comma 2" xfId="509"/>
    <cellStyle name="Normal 3" xfId="510"/>
    <cellStyle name="Normal 4" xfId="511"/>
    <cellStyle name="Followed Hyperlink" xfId="512"/>
    <cellStyle name="Followed Hyperlink" xfId="513"/>
    <cellStyle name="Followed Hyperlink" xfId="514"/>
    <cellStyle name="Followed Hyperlink" xfId="515"/>
    <cellStyle name="Followed Hyperlink" xfId="516"/>
    <cellStyle name="Followed Hyperlink" xfId="517"/>
    <cellStyle name="Followed Hyperlink" xfId="518"/>
    <cellStyle name="Followed Hyperlink" xfId="519"/>
    <cellStyle name="Followed Hyperlink" xfId="520"/>
    <cellStyle name="Followed Hyperlink" xfId="521"/>
    <cellStyle name="Followed Hyperlink" xfId="522"/>
    <cellStyle name="Followed Hyperlink" xfId="523"/>
    <cellStyle name="Followed Hyperlink" xfId="524"/>
    <cellStyle name="Followed Hyperlink" xfId="525"/>
    <cellStyle name="Followed Hyperlink" xfId="526"/>
    <cellStyle name="Followed Hyperlink" xfId="527"/>
    <cellStyle name="Followed Hyperlink" xfId="528"/>
    <cellStyle name="Followed Hyperlink" xfId="529"/>
    <cellStyle name="Followed Hyperlink" xfId="530"/>
    <cellStyle name="Followed Hyperlink" xfId="531"/>
    <cellStyle name="Followed Hyperlink" xfId="532"/>
    <cellStyle name="Followed Hyperlink" xfId="533"/>
    <cellStyle name="Followed Hyperlink" xfId="534"/>
    <cellStyle name="Followed Hyperlink" xfId="535"/>
    <cellStyle name="Followed Hyperlink" xfId="536"/>
    <cellStyle name="Followed Hyperlink" xfId="537"/>
    <cellStyle name="Followed Hyperlink" xfId="538"/>
    <cellStyle name="Followed Hyperlink" xfId="539"/>
    <cellStyle name="Followed Hyperlink" xfId="540"/>
    <cellStyle name="Followed Hyperlink" xfId="541"/>
    <cellStyle name="Followed Hyperlink" xfId="542"/>
    <cellStyle name="Followed Hyperlink" xfId="543"/>
    <cellStyle name="Followed Hyperlink" xfId="544"/>
    <cellStyle name="Followed Hyperlink" xfId="545"/>
    <cellStyle name="Followed Hyperlink" xfId="546"/>
    <cellStyle name="Followed Hyperlink" xfId="547"/>
    <cellStyle name="Followed Hyperlink" xfId="548"/>
    <cellStyle name="Followed Hyperlink" xfId="549"/>
    <cellStyle name="Followed Hyperlink" xfId="550"/>
    <cellStyle name="Followed Hyperlink" xfId="551"/>
    <cellStyle name="Followed Hyperlink" xfId="552"/>
    <cellStyle name="Followed Hyperlink" xfId="553"/>
    <cellStyle name="Followed Hyperlink" xfId="554"/>
    <cellStyle name="Followed Hyperlink" xfId="555"/>
    <cellStyle name="Followed Hyperlink" xfId="556"/>
    <cellStyle name="Followed Hyperlink" xfId="557"/>
    <cellStyle name="Followed Hyperlink" xfId="558"/>
    <cellStyle name="Followed Hyperlink" xfId="559"/>
    <cellStyle name="Followed Hyperlink" xfId="560"/>
    <cellStyle name="Followed Hyperlink" xfId="561"/>
    <cellStyle name="Followed Hyperlink" xfId="562"/>
    <cellStyle name="Followed Hyperlink" xfId="563"/>
    <cellStyle name="Followed Hyperlink" xfId="564"/>
    <cellStyle name="Followed Hyperlink" xfId="565"/>
    <cellStyle name="Followed Hyperlink" xfId="566"/>
    <cellStyle name="Followed Hyperlink" xfId="567"/>
    <cellStyle name="Followed Hyperlink" xfId="568"/>
    <cellStyle name="Followed Hyperlink" xfId="569"/>
    <cellStyle name="Followed Hyperlink" xfId="570"/>
    <cellStyle name="Followed Hyperlink" xfId="571"/>
    <cellStyle name="Followed Hyperlink" xfId="572"/>
    <cellStyle name="Followed Hyperlink" xfId="573"/>
    <cellStyle name="Followed Hyperlink" xfId="574"/>
    <cellStyle name="Followed Hyperlink" xfId="575"/>
    <cellStyle name="Followed Hyperlink" xfId="576"/>
    <cellStyle name="Followed Hyperlink" xfId="577"/>
    <cellStyle name="Followed Hyperlink" xfId="578"/>
    <cellStyle name="Followed Hyperlink" xfId="579"/>
    <cellStyle name="Followed Hyperlink" xfId="580"/>
    <cellStyle name="Followed Hyperlink" xfId="581"/>
    <cellStyle name="Followed Hyperlink" xfId="582"/>
    <cellStyle name="Followed Hyperlink" xfId="583"/>
    <cellStyle name="Followed Hyperlink" xfId="584"/>
    <cellStyle name="Followed Hyperlink" xfId="585"/>
    <cellStyle name="Followed Hyperlink" xfId="586"/>
    <cellStyle name="Followed Hyperlink" xfId="587"/>
    <cellStyle name="Followed Hyperlink" xfId="588"/>
    <cellStyle name="Followed Hyperlink" xfId="589"/>
    <cellStyle name="Followed Hyperlink" xfId="590"/>
    <cellStyle name="Followed Hyperlink" xfId="591"/>
    <cellStyle name="Followed Hyperlink" xfId="592"/>
    <cellStyle name="Followed Hyperlink" xfId="593"/>
    <cellStyle name="Followed Hyperlink" xfId="594"/>
    <cellStyle name="Followed Hyperlink" xfId="595"/>
    <cellStyle name="Followed Hyperlink" xfId="596"/>
    <cellStyle name="Followed Hyperlink" xfId="597"/>
    <cellStyle name="Followed Hyperlink" xfId="598"/>
    <cellStyle name="Followed Hyperlink" xfId="599"/>
    <cellStyle name="Followed Hyperlink" xfId="600"/>
    <cellStyle name="Followed Hyperlink" xfId="601"/>
    <cellStyle name="Followed Hyperlink" xfId="602"/>
    <cellStyle name="Followed Hyperlink" xfId="603"/>
    <cellStyle name="Followed Hyperlink" xfId="604"/>
    <cellStyle name="Followed Hyperlink" xfId="605"/>
    <cellStyle name="Followed Hyperlink" xfId="606"/>
    <cellStyle name="Followed Hyperlink" xfId="607"/>
    <cellStyle name="Followed Hyperlink" xfId="608"/>
    <cellStyle name="Followed Hyperlink" xfId="609"/>
    <cellStyle name="Followed Hyperlink" xfId="610"/>
    <cellStyle name="Followed Hyperlink" xfId="611"/>
    <cellStyle name="Followed Hyperlink" xfId="612"/>
    <cellStyle name="Followed Hyperlink" xfId="613"/>
    <cellStyle name="Followed Hyperlink" xfId="614"/>
    <cellStyle name="Followed Hyperlink" xfId="615"/>
    <cellStyle name="Followed Hyperlink" xfId="616"/>
    <cellStyle name="Followed Hyperlink" xfId="617"/>
    <cellStyle name="Followed Hyperlink" xfId="618"/>
    <cellStyle name="Followed Hyperlink" xfId="619"/>
    <cellStyle name="Followed Hyperlink" xfId="620"/>
    <cellStyle name="Followed Hyperlink" xfId="621"/>
    <cellStyle name="Followed Hyperlink" xfId="622"/>
    <cellStyle name="Followed Hyperlink" xfId="623"/>
    <cellStyle name="Followed Hyperlink" xfId="624"/>
    <cellStyle name="Followed Hyperlink" xfId="625"/>
    <cellStyle name="Followed Hyperlink" xfId="626"/>
    <cellStyle name="Followed Hyperlink" xfId="627"/>
    <cellStyle name="Followed Hyperlink" xfId="628"/>
    <cellStyle name="Followed Hyperlink" xfId="629"/>
    <cellStyle name="Followed Hyperlink" xfId="630"/>
    <cellStyle name="Followed Hyperlink" xfId="631"/>
    <cellStyle name="Followed Hyperlink" xfId="632"/>
    <cellStyle name="Followed Hyperlink" xfId="633"/>
    <cellStyle name="Followed Hyperlink" xfId="634"/>
    <cellStyle name="Followed Hyperlink" xfId="635"/>
    <cellStyle name="Followed Hyperlink" xfId="636"/>
    <cellStyle name="Followed Hyperlink" xfId="637"/>
    <cellStyle name="Followed Hyperlink" xfId="638"/>
    <cellStyle name="Followed Hyperlink" xfId="639"/>
    <cellStyle name="Followed Hyperlink" xfId="640"/>
    <cellStyle name="Followed Hyperlink" xfId="641"/>
    <cellStyle name="Followed Hyperlink" xfId="642"/>
    <cellStyle name="Followed Hyperlink" xfId="643"/>
    <cellStyle name="Followed Hyperlink" xfId="644"/>
    <cellStyle name="Followed Hyperlink" xfId="645"/>
    <cellStyle name="Followed Hyperlink" xfId="646"/>
    <cellStyle name="Followed Hyperlink" xfId="647"/>
    <cellStyle name="Followed Hyperlink" xfId="648"/>
    <cellStyle name="Followed Hyperlink" xfId="649"/>
    <cellStyle name="Followed Hyperlink" xfId="650"/>
    <cellStyle name="Followed Hyperlink" xfId="651"/>
    <cellStyle name="Followed Hyperlink" xfId="652"/>
    <cellStyle name="Followed Hyperlink" xfId="653"/>
    <cellStyle name="Followed Hyperlink" xfId="654"/>
    <cellStyle name="Followed Hyperlink" xfId="655"/>
    <cellStyle name="Followed Hyperlink" xfId="656"/>
    <cellStyle name="Followed Hyperlink" xfId="657"/>
    <cellStyle name="Followed Hyperlink" xfId="658"/>
    <cellStyle name="Followed Hyperlink" xfId="659"/>
    <cellStyle name="Followed Hyperlink" xfId="660"/>
    <cellStyle name="Followed Hyperlink" xfId="661"/>
    <cellStyle name="Followed Hyperlink" xfId="662"/>
    <cellStyle name="Followed Hyperlink" xfId="663"/>
    <cellStyle name="Followed Hyperlink" xfId="664"/>
    <cellStyle name="Followed Hyperlink" xfId="665"/>
    <cellStyle name="Followed Hyperlink" xfId="666"/>
    <cellStyle name="Followed Hyperlink" xfId="667"/>
    <cellStyle name="Followed Hyperlink" xfId="668"/>
    <cellStyle name="Followed Hyperlink" xfId="669"/>
    <cellStyle name="Followed Hyperlink" xfId="670"/>
    <cellStyle name="Followed Hyperlink" xfId="671"/>
    <cellStyle name="Followed Hyperlink" xfId="672"/>
    <cellStyle name="Followed Hyperlink" xfId="673"/>
    <cellStyle name="Followed Hyperlink" xfId="674"/>
    <cellStyle name="Followed Hyperlink" xfId="675"/>
    <cellStyle name="Followed Hyperlink" xfId="676"/>
    <cellStyle name="Followed Hyperlink" xfId="677"/>
    <cellStyle name="Followed Hyperlink" xfId="678"/>
    <cellStyle name="Followed Hyperlink" xfId="679"/>
    <cellStyle name="Followed Hyperlink" xfId="680"/>
    <cellStyle name="Followed Hyperlink" xfId="681"/>
    <cellStyle name="Followed Hyperlink" xfId="682"/>
    <cellStyle name="Followed Hyperlink" xfId="683"/>
    <cellStyle name="Followed Hyperlink" xfId="684"/>
    <cellStyle name="Followed Hyperlink" xfId="685"/>
    <cellStyle name="Followed Hyperlink" xfId="686"/>
    <cellStyle name="Followed Hyperlink" xfId="687"/>
    <cellStyle name="Followed Hyperlink" xfId="688"/>
    <cellStyle name="Followed Hyperlink" xfId="689"/>
    <cellStyle name="Followed Hyperlink" xfId="690"/>
    <cellStyle name="Followed Hyperlink" xfId="691"/>
    <cellStyle name="Followed Hyperlink" xfId="692"/>
    <cellStyle name="Followed Hyperlink" xfId="693"/>
    <cellStyle name="Followed Hyperlink" xfId="694"/>
    <cellStyle name="Followed Hyperlink" xfId="695"/>
    <cellStyle name="Followed Hyperlink" xfId="696"/>
    <cellStyle name="Followed Hyperlink" xfId="697"/>
    <cellStyle name="Followed Hyperlink" xfId="698"/>
    <cellStyle name="Followed Hyperlink" xfId="699"/>
    <cellStyle name="Followed Hyperlink" xfId="700"/>
    <cellStyle name="Followed Hyperlink" xfId="701"/>
    <cellStyle name="Followed Hyperlink" xfId="702"/>
    <cellStyle name="Followed Hyperlink" xfId="703"/>
    <cellStyle name="Followed Hyperlink" xfId="704"/>
    <cellStyle name="Followed Hyperlink" xfId="705"/>
    <cellStyle name="Followed Hyperlink" xfId="706"/>
    <cellStyle name="Followed Hyperlink" xfId="707"/>
    <cellStyle name="Followed Hyperlink" xfId="708"/>
    <cellStyle name="Followed Hyperlink" xfId="709"/>
    <cellStyle name="Followed Hyperlink" xfId="710"/>
    <cellStyle name="Followed Hyperlink" xfId="711"/>
    <cellStyle name="Followed Hyperlink" xfId="712"/>
    <cellStyle name="Followed Hyperlink" xfId="713"/>
    <cellStyle name="Followed Hyperlink" xfId="714"/>
    <cellStyle name="Followed Hyperlink" xfId="715"/>
    <cellStyle name="Followed Hyperlink" xfId="716"/>
    <cellStyle name="Followed Hyperlink" xfId="717"/>
    <cellStyle name="Followed Hyperlink" xfId="718"/>
    <cellStyle name="Followed Hyperlink" xfId="719"/>
    <cellStyle name="Followed Hyperlink" xfId="720"/>
    <cellStyle name="Followed Hyperlink" xfId="721"/>
    <cellStyle name="Followed Hyperlink" xfId="722"/>
    <cellStyle name="Followed Hyperlink" xfId="723"/>
    <cellStyle name="Followed Hyperlink" xfId="724"/>
    <cellStyle name="Followed Hyperlink" xfId="725"/>
    <cellStyle name="Followed Hyperlink" xfId="726"/>
    <cellStyle name="Followed Hyperlink" xfId="727"/>
    <cellStyle name="Followed Hyperlink" xfId="728"/>
    <cellStyle name="Followed Hyperlink" xfId="729"/>
    <cellStyle name="Followed Hyperlink" xfId="730"/>
    <cellStyle name="Followed Hyperlink" xfId="731"/>
    <cellStyle name="Followed Hyperlink" xfId="732"/>
    <cellStyle name="Followed Hyperlink" xfId="733"/>
    <cellStyle name="Followed Hyperlink" xfId="734"/>
    <cellStyle name="Followed Hyperlink" xfId="735"/>
    <cellStyle name="Followed Hyperlink" xfId="736"/>
    <cellStyle name="Followed Hyperlink" xfId="737"/>
    <cellStyle name="Followed Hyperlink" xfId="738"/>
    <cellStyle name="Followed Hyperlink" xfId="739"/>
    <cellStyle name="Followed Hyperlink" xfId="740"/>
    <cellStyle name="Followed Hyperlink" xfId="741"/>
    <cellStyle name="Followed Hyperlink" xfId="742"/>
    <cellStyle name="Followed Hyperlink" xfId="743"/>
    <cellStyle name="Followed Hyperlink" xfId="744"/>
    <cellStyle name="Followed Hyperlink" xfId="745"/>
    <cellStyle name="Followed Hyperlink" xfId="746"/>
    <cellStyle name="Followed Hyperlink" xfId="747"/>
    <cellStyle name="Followed Hyperlink" xfId="748"/>
    <cellStyle name="Followed Hyperlink" xfId="749"/>
    <cellStyle name="Followed Hyperlink" xfId="750"/>
    <cellStyle name="Followed Hyperlink" xfId="751"/>
    <cellStyle name="Followed Hyperlink" xfId="752"/>
    <cellStyle name="Followed Hyperlink" xfId="753"/>
    <cellStyle name="Followed Hyperlink" xfId="754"/>
    <cellStyle name="Followed Hyperlink" xfId="755"/>
    <cellStyle name="Followed Hyperlink" xfId="756"/>
    <cellStyle name="Followed Hyperlink" xfId="757"/>
    <cellStyle name="Followed Hyperlink" xfId="758"/>
    <cellStyle name="Followed Hyperlink" xfId="759"/>
    <cellStyle name="Followed Hyperlink" xfId="760"/>
    <cellStyle name="Followed Hyperlink" xfId="761"/>
    <cellStyle name="Followed Hyperlink" xfId="762"/>
    <cellStyle name="Followed Hyperlink" xfId="763"/>
    <cellStyle name="Followed Hyperlink" xfId="764"/>
    <cellStyle name="Followed Hyperlink" xfId="765"/>
    <cellStyle name="Followed Hyperlink" xfId="766"/>
    <cellStyle name="Followed Hyperlink" xfId="767"/>
    <cellStyle name="Followed Hyperlink" xfId="768"/>
    <cellStyle name="Followed Hyperlink" xfId="769"/>
    <cellStyle name="Followed Hyperlink" xfId="770"/>
    <cellStyle name="Followed Hyperlink" xfId="771"/>
    <cellStyle name="Followed Hyperlink" xfId="772"/>
    <cellStyle name="Followed Hyperlink" xfId="773"/>
    <cellStyle name="Followed Hyperlink" xfId="774"/>
    <cellStyle name="Followed Hyperlink" xfId="775"/>
    <cellStyle name="Followed Hyperlink" xfId="776"/>
    <cellStyle name="Followed Hyperlink" xfId="777"/>
    <cellStyle name="Followed Hyperlink" xfId="778"/>
    <cellStyle name="Followed Hyperlink" xfId="779"/>
    <cellStyle name="Followed Hyperlink" xfId="780"/>
    <cellStyle name="Followed Hyperlink" xfId="781"/>
    <cellStyle name="Followed Hyperlink" xfId="782"/>
    <cellStyle name="Followed Hyperlink" xfId="783"/>
    <cellStyle name="Followed Hyperlink" xfId="784"/>
    <cellStyle name="Followed Hyperlink" xfId="785"/>
    <cellStyle name="Followed Hyperlink" xfId="786"/>
    <cellStyle name="Followed Hyperlink" xfId="787"/>
    <cellStyle name="Followed Hyperlink" xfId="788"/>
    <cellStyle name="Followed Hyperlink" xfId="789"/>
    <cellStyle name="Followed Hyperlink" xfId="790"/>
    <cellStyle name="Followed Hyperlink" xfId="791"/>
    <cellStyle name="Followed Hyperlink" xfId="792"/>
    <cellStyle name="Followed Hyperlink" xfId="793"/>
    <cellStyle name="Followed Hyperlink" xfId="794"/>
    <cellStyle name="Followed Hyperlink" xfId="795"/>
    <cellStyle name="Followed Hyperlink" xfId="796"/>
    <cellStyle name="Followed Hyperlink" xfId="797"/>
    <cellStyle name="Followed Hyperlink" xfId="798"/>
    <cellStyle name="Followed Hyperlink" xfId="799"/>
    <cellStyle name="Followed Hyperlink" xfId="800"/>
    <cellStyle name="Followed Hyperlink" xfId="801"/>
    <cellStyle name="Followed Hyperlink" xfId="802"/>
    <cellStyle name="Followed Hyperlink" xfId="803"/>
    <cellStyle name="Followed Hyperlink" xfId="804"/>
    <cellStyle name="Followed Hyperlink" xfId="805"/>
    <cellStyle name="Followed Hyperlink" xfId="806"/>
    <cellStyle name="Followed Hyperlink" xfId="807"/>
    <cellStyle name="Followed Hyperlink" xfId="808"/>
    <cellStyle name="Followed Hyperlink" xfId="809"/>
    <cellStyle name="Followed Hyperlink" xfId="810"/>
    <cellStyle name="Followed Hyperlink" xfId="811"/>
    <cellStyle name="Followed Hyperlink" xfId="812"/>
    <cellStyle name="Followed Hyperlink" xfId="813"/>
    <cellStyle name="Followed Hyperlink" xfId="814"/>
    <cellStyle name="Followed Hyperlink" xfId="815"/>
    <cellStyle name="Followed Hyperlink" xfId="816"/>
    <cellStyle name="Followed Hyperlink" xfId="817"/>
    <cellStyle name="Followed Hyperlink" xfId="818"/>
    <cellStyle name="Followed Hyperlink" xfId="819"/>
    <cellStyle name="Followed Hyperlink" xfId="820"/>
    <cellStyle name="Followed Hyperlink" xfId="821"/>
    <cellStyle name="Followed Hyperlink" xfId="822"/>
    <cellStyle name="Followed Hyperlink" xfId="823"/>
    <cellStyle name="Followed Hyperlink" xfId="824"/>
    <cellStyle name="Followed Hyperlink" xfId="825"/>
    <cellStyle name="Followed Hyperlink" xfId="826"/>
    <cellStyle name="Followed Hyperlink" xfId="827"/>
    <cellStyle name="Followed Hyperlink" xfId="828"/>
    <cellStyle name="Followed Hyperlink" xfId="829"/>
    <cellStyle name="Followed Hyperlink" xfId="830"/>
    <cellStyle name="Followed Hyperlink" xfId="831"/>
    <cellStyle name="Followed Hyperlink" xfId="832"/>
    <cellStyle name="Followed Hyperlink" xfId="833"/>
    <cellStyle name="Followed Hyperlink" xfId="834"/>
    <cellStyle name="Followed Hyperlink" xfId="835"/>
    <cellStyle name="Followed Hyperlink" xfId="836"/>
    <cellStyle name="Followed Hyperlink" xfId="837"/>
    <cellStyle name="Followed Hyperlink" xfId="838"/>
    <cellStyle name="Followed Hyperlink" xfId="839"/>
    <cellStyle name="Followed Hyperlink" xfId="840"/>
    <cellStyle name="Followed Hyperlink" xfId="841"/>
    <cellStyle name="Followed Hyperlink" xfId="842"/>
    <cellStyle name="Followed Hyperlink" xfId="843"/>
    <cellStyle name="Followed Hyperlink" xfId="844"/>
    <cellStyle name="Followed Hyperlink" xfId="845"/>
    <cellStyle name="Followed Hyperlink" xfId="846"/>
    <cellStyle name="Followed Hyperlink" xfId="847"/>
    <cellStyle name="Followed Hyperlink" xfId="848"/>
    <cellStyle name="Followed Hyperlink" xfId="849"/>
    <cellStyle name="Followed Hyperlink" xfId="850"/>
    <cellStyle name="Followed Hyperlink" xfId="851"/>
    <cellStyle name="Followed Hyperlink" xfId="852"/>
    <cellStyle name="Followed Hyperlink" xfId="853"/>
    <cellStyle name="Followed Hyperlink" xfId="854"/>
    <cellStyle name="Followed Hyperlink" xfId="855"/>
    <cellStyle name="Followed Hyperlink" xfId="856"/>
    <cellStyle name="Followed Hyperlink" xfId="857"/>
    <cellStyle name="Followed Hyperlink" xfId="858"/>
    <cellStyle name="Followed Hyperlink" xfId="859"/>
    <cellStyle name="Followed Hyperlink" xfId="860"/>
    <cellStyle name="Followed Hyperlink" xfId="861"/>
    <cellStyle name="Followed Hyperlink" xfId="862"/>
    <cellStyle name="Followed Hyperlink" xfId="863"/>
    <cellStyle name="Followed Hyperlink" xfId="864"/>
    <cellStyle name="Followed Hyperlink" xfId="865"/>
    <cellStyle name="Followed Hyperlink" xfId="866"/>
    <cellStyle name="Followed Hyperlink" xfId="867"/>
    <cellStyle name="Followed Hyperlink" xfId="868"/>
    <cellStyle name="Followed Hyperlink" xfId="869"/>
    <cellStyle name="Followed Hyperlink" xfId="870"/>
    <cellStyle name="Followed Hyperlink" xfId="871"/>
    <cellStyle name="Followed Hyperlink" xfId="872"/>
    <cellStyle name="Followed Hyperlink" xfId="873"/>
    <cellStyle name="Followed Hyperlink" xfId="874"/>
    <cellStyle name="Followed Hyperlink" xfId="875"/>
    <cellStyle name="Followed Hyperlink" xfId="876"/>
    <cellStyle name="Followed Hyperlink" xfId="877"/>
    <cellStyle name="Followed Hyperlink" xfId="878"/>
    <cellStyle name="Followed Hyperlink" xfId="879"/>
    <cellStyle name="Followed Hyperlink" xfId="880"/>
    <cellStyle name="Followed Hyperlink" xfId="881"/>
    <cellStyle name="Followed Hyperlink" xfId="882"/>
    <cellStyle name="Followed Hyperlink" xfId="883"/>
    <cellStyle name="Followed Hyperlink" xfId="884"/>
    <cellStyle name="Followed Hyperlink" xfId="885"/>
    <cellStyle name="Followed Hyperlink" xfId="886"/>
    <cellStyle name="Followed Hyperlink" xfId="887"/>
    <cellStyle name="Followed Hyperlink" xfId="888"/>
    <cellStyle name="Followed Hyperlink" xfId="889"/>
    <cellStyle name="Followed Hyperlink" xfId="890"/>
    <cellStyle name="Followed Hyperlink" xfId="891"/>
    <cellStyle name="Followed Hyperlink" xfId="892"/>
    <cellStyle name="Followed Hyperlink" xfId="893"/>
    <cellStyle name="Followed Hyperlink" xfId="894"/>
    <cellStyle name="Followed Hyperlink" xfId="895"/>
    <cellStyle name="Followed Hyperlink" xfId="896"/>
    <cellStyle name="Followed Hyperlink" xfId="897"/>
    <cellStyle name="Followed Hyperlink" xfId="898"/>
    <cellStyle name="Followed Hyperlink" xfId="899"/>
    <cellStyle name="Followed Hyperlink" xfId="900"/>
    <cellStyle name="Followed Hyperlink" xfId="901"/>
    <cellStyle name="Followed Hyperlink" xfId="902"/>
    <cellStyle name="Followed Hyperlink" xfId="903"/>
    <cellStyle name="Followed Hyperlink" xfId="904"/>
    <cellStyle name="Followed Hyperlink" xfId="905"/>
    <cellStyle name="Followed Hyperlink" xfId="906"/>
    <cellStyle name="Followed Hyperlink" xfId="907"/>
    <cellStyle name="Followed Hyperlink" xfId="908"/>
    <cellStyle name="Followed Hyperlink" xfId="909"/>
    <cellStyle name="Followed Hyperlink" xfId="910"/>
    <cellStyle name="Followed Hyperlink" xfId="911"/>
    <cellStyle name="Followed Hyperlink" xfId="912"/>
    <cellStyle name="Followed Hyperlink" xfId="913"/>
    <cellStyle name="Followed Hyperlink" xfId="914"/>
    <cellStyle name="Followed Hyperlink" xfId="915"/>
    <cellStyle name="Followed Hyperlink" xfId="916"/>
    <cellStyle name="Followed Hyperlink" xfId="917"/>
    <cellStyle name="Followed Hyperlink" xfId="918"/>
    <cellStyle name="Followed Hyperlink" xfId="919"/>
    <cellStyle name="Followed Hyperlink" xfId="920"/>
    <cellStyle name="Followed Hyperlink" xfId="921"/>
    <cellStyle name="Followed Hyperlink" xfId="922"/>
    <cellStyle name="Followed Hyperlink" xfId="923"/>
    <cellStyle name="Followed Hyperlink" xfId="924"/>
    <cellStyle name="Followed Hyperlink" xfId="925"/>
    <cellStyle name="Followed Hyperlink" xfId="926"/>
    <cellStyle name="Followed Hyperlink" xfId="927"/>
    <cellStyle name="Followed Hyperlink" xfId="928"/>
    <cellStyle name="Followed Hyperlink" xfId="929"/>
    <cellStyle name="Followed Hyperlink" xfId="930"/>
    <cellStyle name="Followed Hyperlink" xfId="931"/>
    <cellStyle name="Followed Hyperlink" xfId="932"/>
    <cellStyle name="Followed Hyperlink" xfId="933"/>
    <cellStyle name="Followed Hyperlink" xfId="934"/>
    <cellStyle name="Followed Hyperlink" xfId="935"/>
    <cellStyle name="Followed Hyperlink" xfId="936"/>
    <cellStyle name="Followed Hyperlink" xfId="937"/>
    <cellStyle name="Followed Hyperlink" xfId="938"/>
    <cellStyle name="Followed Hyperlink" xfId="939"/>
    <cellStyle name="Followed Hyperlink" xfId="940"/>
    <cellStyle name="Followed Hyperlink" xfId="941"/>
    <cellStyle name="Followed Hyperlink" xfId="942"/>
    <cellStyle name="Followed Hyperlink" xfId="943"/>
    <cellStyle name="Followed Hyperlink" xfId="944"/>
    <cellStyle name="Followed Hyperlink" xfId="945"/>
    <cellStyle name="Followed Hyperlink" xfId="946"/>
    <cellStyle name="Followed Hyperlink" xfId="947"/>
    <cellStyle name="Followed Hyperlink" xfId="948"/>
    <cellStyle name="Followed Hyperlink" xfId="949"/>
    <cellStyle name="Followed Hyperlink" xfId="950"/>
    <cellStyle name="Followed Hyperlink" xfId="951"/>
    <cellStyle name="Followed Hyperlink" xfId="952"/>
    <cellStyle name="Followed Hyperlink" xfId="953"/>
    <cellStyle name="Followed Hyperlink" xfId="954"/>
    <cellStyle name="Followed Hyperlink" xfId="955"/>
    <cellStyle name="Followed Hyperlink" xfId="956"/>
    <cellStyle name="Followed Hyperlink" xfId="957"/>
    <cellStyle name="Followed Hyperlink" xfId="958"/>
    <cellStyle name="Followed Hyperlink" xfId="959"/>
    <cellStyle name="Followed Hyperlink" xfId="960"/>
    <cellStyle name="Followed Hyperlink" xfId="961"/>
    <cellStyle name="Followed Hyperlink" xfId="962"/>
    <cellStyle name="Followed Hyperlink" xfId="963"/>
    <cellStyle name="Followed Hyperlink" xfId="964"/>
    <cellStyle name="Followed Hyperlink" xfId="965"/>
    <cellStyle name="Followed Hyperlink" xfId="966"/>
    <cellStyle name="Followed Hyperlink" xfId="967"/>
    <cellStyle name="Followed Hyperlink" xfId="968"/>
    <cellStyle name="Followed Hyperlink" xfId="969"/>
    <cellStyle name="Followed Hyperlink" xfId="970"/>
    <cellStyle name="Followed Hyperlink" xfId="971"/>
    <cellStyle name="Followed Hyperlink" xfId="972"/>
    <cellStyle name="Followed Hyperlink" xfId="973"/>
    <cellStyle name="Followed Hyperlink" xfId="974"/>
    <cellStyle name="Followed Hyperlink" xfId="975"/>
    <cellStyle name="Followed Hyperlink" xfId="976"/>
    <cellStyle name="Followed Hyperlink" xfId="977"/>
    <cellStyle name="Followed Hyperlink" xfId="978"/>
    <cellStyle name="Followed Hyperlink" xfId="979"/>
    <cellStyle name="Followed Hyperlink" xfId="980"/>
    <cellStyle name="Followed Hyperlink" xfId="981"/>
    <cellStyle name="Followed Hyperlink" xfId="982"/>
    <cellStyle name="Followed Hyperlink" xfId="983"/>
    <cellStyle name="Followed Hyperlink" xfId="984"/>
    <cellStyle name="Followed Hyperlink" xfId="985"/>
    <cellStyle name="Followed Hyperlink" xfId="986"/>
    <cellStyle name="Followed Hyperlink" xfId="987"/>
    <cellStyle name="Followed Hyperlink" xfId="988"/>
    <cellStyle name="Followed Hyperlink" xfId="989"/>
    <cellStyle name="Followed Hyperlink" xfId="990"/>
    <cellStyle name="Followed Hyperlink" xfId="991"/>
    <cellStyle name="Followed Hyperlink" xfId="992"/>
    <cellStyle name="Followed Hyperlink" xfId="993"/>
    <cellStyle name="Followed Hyperlink" xfId="994"/>
    <cellStyle name="Followed Hyperlink" xfId="995"/>
    <cellStyle name="Followed Hyperlink" xfId="996"/>
    <cellStyle name="Followed Hyperlink" xfId="997"/>
    <cellStyle name="Followed Hyperlink" xfId="998"/>
    <cellStyle name="Followed Hyperlink" xfId="999"/>
    <cellStyle name="Followed Hyperlink" xfId="1000"/>
    <cellStyle name="Followed Hyperlink" xfId="1001"/>
    <cellStyle name="Followed Hyperlink" xfId="1002"/>
    <cellStyle name="Followed Hyperlink" xfId="1003"/>
    <cellStyle name="Followed Hyperlink" xfId="1004"/>
    <cellStyle name="Followed Hyperlink" xfId="1005"/>
    <cellStyle name="Followed Hyperlink" xfId="1006"/>
    <cellStyle name="Followed Hyperlink" xfId="1007"/>
    <cellStyle name="Followed Hyperlink" xfId="1008"/>
    <cellStyle name="Followed Hyperlink" xfId="1009"/>
    <cellStyle name="Followed Hyperlink" xfId="1010"/>
    <cellStyle name="Followed Hyperlink" xfId="1011"/>
    <cellStyle name="Followed Hyperlink" xfId="1012"/>
    <cellStyle name="Followed Hyperlink" xfId="1013"/>
    <cellStyle name="Followed Hyperlink" xfId="1014"/>
    <cellStyle name="Followed Hyperlink" xfId="1015"/>
    <cellStyle name="Followed Hyperlink" xfId="1016"/>
    <cellStyle name="Followed Hyperlink" xfId="1017"/>
    <cellStyle name="Followed Hyperlink" xfId="1018"/>
    <cellStyle name="Followed Hyperlink" xfId="1019"/>
    <cellStyle name="Followed Hyperlink" xfId="1020"/>
    <cellStyle name="Followed Hyperlink" xfId="1021"/>
    <cellStyle name="Followed Hyperlink" xfId="1022"/>
    <cellStyle name="Followed Hyperlink" xfId="1023"/>
    <cellStyle name="Followed Hyperlink" xfId="1024"/>
    <cellStyle name="Followed Hyperlink" xfId="1025"/>
    <cellStyle name="Followed Hyperlink" xfId="1026"/>
    <cellStyle name="Followed Hyperlink" xfId="1027"/>
    <cellStyle name="Followed Hyperlink" xfId="1028"/>
    <cellStyle name="Followed Hyperlink" xfId="1029"/>
    <cellStyle name="Followed Hyperlink" xfId="1030"/>
    <cellStyle name="Followed Hyperlink" xfId="1031"/>
    <cellStyle name="Followed Hyperlink" xfId="1032"/>
    <cellStyle name="Followed Hyperlink" xfId="1033"/>
    <cellStyle name="Followed Hyperlink" xfId="1034"/>
    <cellStyle name="Followed Hyperlink" xfId="1035"/>
    <cellStyle name="Followed Hyperlink" xfId="1036"/>
    <cellStyle name="Followed Hyperlink" xfId="1037"/>
    <cellStyle name="Followed Hyperlink" xfId="1038"/>
    <cellStyle name="Followed Hyperlink" xfId="1039"/>
    <cellStyle name="Followed Hyperlink" xfId="1040"/>
    <cellStyle name="Followed Hyperlink" xfId="1041"/>
    <cellStyle name="Followed Hyperlink" xfId="1042"/>
    <cellStyle name="Followed Hyperlink" xfId="1043"/>
    <cellStyle name="Followed Hyperlink" xfId="1044"/>
    <cellStyle name="Followed Hyperlink" xfId="1045"/>
    <cellStyle name="Followed Hyperlink" xfId="1046"/>
    <cellStyle name="Followed Hyperlink" xfId="1047"/>
    <cellStyle name="Followed Hyperlink" xfId="1048"/>
    <cellStyle name="Followed Hyperlink" xfId="1049"/>
    <cellStyle name="Followed Hyperlink" xfId="1050"/>
    <cellStyle name="Followed Hyperlink" xfId="1051"/>
    <cellStyle name="Followed Hyperlink" xfId="1052"/>
    <cellStyle name="Followed Hyperlink" xfId="1053"/>
    <cellStyle name="Followed Hyperlink" xfId="1054"/>
    <cellStyle name="Followed Hyperlink" xfId="1055"/>
    <cellStyle name="Followed Hyperlink" xfId="1056"/>
    <cellStyle name="Followed Hyperlink" xfId="1057"/>
    <cellStyle name="Followed Hyperlink" xfId="1058"/>
    <cellStyle name="Followed Hyperlink" xfId="1059"/>
    <cellStyle name="Followed Hyperlink" xfId="1060"/>
    <cellStyle name="Followed Hyperlink" xfId="1061"/>
    <cellStyle name="Followed Hyperlink" xfId="1062"/>
    <cellStyle name="Followed Hyperlink" xfId="1063"/>
    <cellStyle name="Followed Hyperlink" xfId="1064"/>
    <cellStyle name="Followed Hyperlink" xfId="1065"/>
    <cellStyle name="Followed Hyperlink" xfId="1066"/>
    <cellStyle name="Followed Hyperlink" xfId="1067"/>
    <cellStyle name="Followed Hyperlink" xfId="1068"/>
    <cellStyle name="Followed Hyperlink" xfId="1069"/>
    <cellStyle name="Followed Hyperlink" xfId="1070"/>
    <cellStyle name="Followed Hyperlink" xfId="1071"/>
    <cellStyle name="Followed Hyperlink" xfId="1072"/>
    <cellStyle name="Followed Hyperlink" xfId="1073"/>
    <cellStyle name="Followed Hyperlink" xfId="1074"/>
    <cellStyle name="Followed Hyperlink" xfId="1075"/>
    <cellStyle name="Followed Hyperlink" xfId="1076"/>
    <cellStyle name="Followed Hyperlink" xfId="1077"/>
    <cellStyle name="Followed Hyperlink" xfId="1078"/>
    <cellStyle name="Followed Hyperlink" xfId="1079"/>
    <cellStyle name="Followed Hyperlink" xfId="1080"/>
    <cellStyle name="Followed Hyperlink" xfId="1081"/>
    <cellStyle name="Followed Hyperlink" xfId="1082"/>
    <cellStyle name="Followed Hyperlink" xfId="1083"/>
    <cellStyle name="Followed Hyperlink" xfId="1084"/>
    <cellStyle name="Followed Hyperlink" xfId="1085"/>
    <cellStyle name="Followed Hyperlink" xfId="1086"/>
    <cellStyle name="Followed Hyperlink" xfId="1087"/>
    <cellStyle name="Followed Hyperlink" xfId="1088"/>
    <cellStyle name="Followed Hyperlink" xfId="1089"/>
    <cellStyle name="Followed Hyperlink" xfId="1090"/>
    <cellStyle name="Followed Hyperlink" xfId="1091"/>
    <cellStyle name="Followed Hyperlink" xfId="1092"/>
    <cellStyle name="Followed Hyperlink" xfId="1093"/>
    <cellStyle name="Followed Hyperlink" xfId="1094"/>
    <cellStyle name="Followed Hyperlink" xfId="1095"/>
    <cellStyle name="Followed Hyperlink" xfId="1096"/>
    <cellStyle name="Followed Hyperlink" xfId="1097"/>
    <cellStyle name="Followed Hyperlink" xfId="1098"/>
    <cellStyle name="Followed Hyperlink" xfId="1099"/>
    <cellStyle name="Followed Hyperlink" xfId="1100"/>
    <cellStyle name="Followed Hyperlink" xfId="1101"/>
    <cellStyle name="Followed Hyperlink" xfId="1102"/>
    <cellStyle name="Followed Hyperlink" xfId="1103"/>
    <cellStyle name="Followed Hyperlink" xfId="1104"/>
    <cellStyle name="Followed Hyperlink" xfId="1105"/>
    <cellStyle name="Followed Hyperlink" xfId="1106"/>
    <cellStyle name="Followed Hyperlink" xfId="1107"/>
    <cellStyle name="Followed Hyperlink" xfId="1108"/>
    <cellStyle name="Followed Hyperlink" xfId="1109"/>
    <cellStyle name="Followed Hyperlink" xfId="1110"/>
    <cellStyle name="Followed Hyperlink" xfId="1111"/>
    <cellStyle name="Followed Hyperlink" xfId="1112"/>
    <cellStyle name="Followed Hyperlink" xfId="1113"/>
    <cellStyle name="Followed Hyperlink" xfId="1114"/>
    <cellStyle name="Followed Hyperlink" xfId="1115"/>
    <cellStyle name="Followed Hyperlink" xfId="1116"/>
    <cellStyle name="Followed Hyperlink" xfId="1117"/>
    <cellStyle name="Followed Hyperlink" xfId="1118"/>
    <cellStyle name="Followed Hyperlink" xfId="1119"/>
    <cellStyle name="Followed Hyperlink" xfId="1120"/>
    <cellStyle name="Followed Hyperlink" xfId="1121"/>
    <cellStyle name="Followed Hyperlink" xfId="1122"/>
    <cellStyle name="Followed Hyperlink" xfId="1123"/>
    <cellStyle name="Followed Hyperlink" xfId="1124"/>
    <cellStyle name="Followed Hyperlink" xfId="1125"/>
    <cellStyle name="Followed Hyperlink" xfId="1126"/>
    <cellStyle name="Followed Hyperlink" xfId="1127"/>
    <cellStyle name="Followed Hyperlink" xfId="1128"/>
    <cellStyle name="Followed Hyperlink" xfId="1129"/>
    <cellStyle name="Followed Hyperlink" xfId="1130"/>
    <cellStyle name="Followed Hyperlink" xfId="1131"/>
    <cellStyle name="Followed Hyperlink" xfId="1132"/>
    <cellStyle name="Followed Hyperlink" xfId="1133"/>
    <cellStyle name="Followed Hyperlink" xfId="1134"/>
    <cellStyle name="Followed Hyperlink" xfId="1135"/>
    <cellStyle name="Followed Hyperlink" xfId="1136"/>
    <cellStyle name="Followed Hyperlink" xfId="1137"/>
    <cellStyle name="Followed Hyperlink" xfId="1138"/>
    <cellStyle name="Followed Hyperlink" xfId="1139"/>
    <cellStyle name="Followed Hyperlink" xfId="1140"/>
    <cellStyle name="Followed Hyperlink" xfId="1141"/>
    <cellStyle name="Followed Hyperlink" xfId="1142"/>
    <cellStyle name="Followed Hyperlink" xfId="1143"/>
    <cellStyle name="Comma 2 2" xfId="1144"/>
    <cellStyle name="Currency 2" xfId="1145"/>
    <cellStyle name="Normal 2 2" xfId="1146"/>
    <cellStyle name="Followed Hyperlink" xfId="1147"/>
    <cellStyle name="Followed Hyperlink" xfId="1148"/>
    <cellStyle name="Followed Hyperlink" xfId="1149"/>
    <cellStyle name="Followed Hyperlink" xfId="1150"/>
    <cellStyle name="Followed Hyperlink" xfId="1151"/>
    <cellStyle name="Followed Hyperlink" xfId="1152"/>
    <cellStyle name="Followed Hyperlink" xfId="1153"/>
    <cellStyle name="Followed Hyperlink" xfId="1154"/>
    <cellStyle name="Followed Hyperlink" xfId="1155"/>
    <cellStyle name="Followed Hyperlink" xfId="1156"/>
    <cellStyle name="Followed Hyperlink" xfId="1157"/>
    <cellStyle name="Followed Hyperlink" xfId="1158"/>
    <cellStyle name="Followed Hyperlink" xfId="1159"/>
    <cellStyle name="Followed Hyperlink" xfId="1160"/>
    <cellStyle name="Followed Hyperlink" xfId="1161"/>
    <cellStyle name="Followed Hyperlink" xfId="1162"/>
    <cellStyle name="Followed Hyperlink" xfId="1163"/>
    <cellStyle name="Followed Hyperlink" xfId="1164"/>
    <cellStyle name="Followed Hyperlink" xfId="1165"/>
    <cellStyle name="Followed Hyperlink" xfId="1166"/>
    <cellStyle name="Followed Hyperlink" xfId="1167"/>
    <cellStyle name="Followed Hyperlink" xfId="1168"/>
    <cellStyle name="Followed Hyperlink" xfId="1169"/>
    <cellStyle name="Followed Hyperlink" xfId="1170"/>
    <cellStyle name="Followed Hyperlink" xfId="1171"/>
    <cellStyle name="Followed Hyperlink" xfId="1172"/>
    <cellStyle name="Followed Hyperlink" xfId="1173"/>
    <cellStyle name="Followed Hyperlink" xfId="1174"/>
    <cellStyle name="Followed Hyperlink" xfId="1175"/>
    <cellStyle name="Followed Hyperlink" xfId="1176"/>
    <cellStyle name="Followed Hyperlink" xfId="1177"/>
    <cellStyle name="Followed Hyperlink" xfId="1178"/>
    <cellStyle name="Followed Hyperlink" xfId="1179"/>
    <cellStyle name="Followed Hyperlink" xfId="1180"/>
    <cellStyle name="Followed Hyperlink" xfId="1181"/>
    <cellStyle name="Followed Hyperlink" xfId="1182"/>
    <cellStyle name="Followed Hyperlink" xfId="1183"/>
    <cellStyle name="Followed Hyperlink" xfId="1184"/>
    <cellStyle name="Followed Hyperlink" xfId="1185"/>
    <cellStyle name="Followed Hyperlink" xfId="1186"/>
    <cellStyle name="Followed Hyperlink" xfId="1187"/>
    <cellStyle name="Followed Hyperlink" xfId="1188"/>
    <cellStyle name="Followed Hyperlink" xfId="1189"/>
    <cellStyle name="Followed Hyperlink" xfId="1190"/>
    <cellStyle name="Followed Hyperlink" xfId="1191"/>
    <cellStyle name="Followed Hyperlink" xfId="1192"/>
    <cellStyle name="Followed Hyperlink" xfId="1193"/>
    <cellStyle name="Followed Hyperlink" xfId="1194"/>
    <cellStyle name="Followed Hyperlink" xfId="1195"/>
    <cellStyle name="Followed Hyperlink" xfId="1196"/>
    <cellStyle name="Followed Hyperlink" xfId="1197"/>
    <cellStyle name="Followed Hyperlink" xfId="1198"/>
    <cellStyle name="Followed Hyperlink" xfId="1199"/>
    <cellStyle name="Followed Hyperlink" xfId="1200"/>
    <cellStyle name="Followed Hyperlink" xfId="1201"/>
    <cellStyle name="Followed Hyperlink" xfId="1202"/>
    <cellStyle name="Followed Hyperlink" xfId="1203"/>
    <cellStyle name="Followed Hyperlink" xfId="1204"/>
    <cellStyle name="Followed Hyperlink" xfId="1205"/>
    <cellStyle name="Followed Hyperlink" xfId="1206"/>
    <cellStyle name="Followed Hyperlink" xfId="1207"/>
    <cellStyle name="Followed Hyperlink" xfId="1208"/>
    <cellStyle name="Followed Hyperlink" xfId="1209"/>
    <cellStyle name="Followed Hyperlink" xfId="1210"/>
    <cellStyle name="Followed Hyperlink" xfId="1211"/>
    <cellStyle name="Followed Hyperlink" xfId="1212"/>
    <cellStyle name="Followed Hyperlink" xfId="1213"/>
    <cellStyle name="Followed Hyperlink" xfId="1214"/>
    <cellStyle name="Followed Hyperlink" xfId="1215"/>
    <cellStyle name="Followed Hyperlink" xfId="1216"/>
    <cellStyle name="Followed Hyperlink" xfId="1217"/>
    <cellStyle name="Followed Hyperlink" xfId="1218"/>
    <cellStyle name="Followed Hyperlink" xfId="1219"/>
    <cellStyle name="Followed Hyperlink" xfId="1220"/>
    <cellStyle name="Followed Hyperlink" xfId="1221"/>
    <cellStyle name="Followed Hyperlink" xfId="1222"/>
    <cellStyle name="Followed Hyperlink" xfId="1223"/>
    <cellStyle name="Followed Hyperlink" xfId="1224"/>
    <cellStyle name="Comma 2 3" xfId="1225"/>
    <cellStyle name="Currency 3" xfId="1226"/>
    <cellStyle name="Comma 3" xfId="1227"/>
    <cellStyle name="Followed Hyperlink" xfId="1228"/>
    <cellStyle name="Followed Hyperlink" xfId="1229"/>
    <cellStyle name="Followed Hyperlink" xfId="1230"/>
    <cellStyle name="Followed Hyperlink" xfId="1231"/>
    <cellStyle name="Followed Hyperlink" xfId="1232"/>
    <cellStyle name="Followed Hyperlink" xfId="1233"/>
    <cellStyle name="Followed Hyperlink" xfId="1234"/>
    <cellStyle name="Followed Hyperlink" xfId="1235"/>
    <cellStyle name="Followed Hyperlink" xfId="1236"/>
    <cellStyle name="Followed Hyperlink" xfId="1237"/>
    <cellStyle name="Followed Hyperlink" xfId="1238"/>
    <cellStyle name="Followed Hyperlink" xfId="1239"/>
    <cellStyle name="Followed Hyperlink" xfId="1240"/>
    <cellStyle name="Followed Hyperlink" xfId="1241"/>
    <cellStyle name="Normal 2 2 2" xfId="1242"/>
    <cellStyle name="Comma 2 3 2" xfId="1243"/>
    <cellStyle name="Comma 2 4" xfId="1244"/>
    <cellStyle name="Normal 3 2" xfId="1245"/>
    <cellStyle name="Comma 2 2 2" xfId="1246"/>
    <cellStyle name="Currency 2 2" xfId="1247"/>
    <cellStyle name="Normal 2 2 2 2" xfId="1248"/>
    <cellStyle name="Comma 2 4 2" xfId="1249"/>
    <cellStyle name="Percent 2" xfId="1250"/>
    <cellStyle name="Comma 2 2 2 2" xfId="1251"/>
    <cellStyle name="Comma 2 4 2 2" xfId="1252"/>
    <cellStyle name="Followed Hyperlink" xfId="1253"/>
    <cellStyle name="Followed Hyperlink" xfId="1254"/>
    <cellStyle name="Followed Hyperlink" xfId="1255"/>
    <cellStyle name="Followed Hyperlink" xfId="1256"/>
    <cellStyle name="Followed Hyperlink" xfId="1257"/>
    <cellStyle name="Followed Hyperlink" xfId="1258"/>
    <cellStyle name="Followed Hyperlink" xfId="1259"/>
    <cellStyle name="Followed Hyperlink" xfId="1260"/>
    <cellStyle name="Followed Hyperlink" xfId="1261"/>
    <cellStyle name="Followed Hyperlink" xfId="1262"/>
    <cellStyle name="Followed Hyperlink" xfId="1263"/>
    <cellStyle name="Followed Hyperlink" xfId="1264"/>
    <cellStyle name="Followed Hyperlink" xfId="1265"/>
    <cellStyle name="Followed Hyperlink" xfId="1266"/>
    <cellStyle name="Comma 4" xfId="1267"/>
    <cellStyle name="Normal 2 3" xfId="1268"/>
    <cellStyle name="Comma 2 5" xfId="1269"/>
    <cellStyle name="Comma 3 2" xfId="1270"/>
    <cellStyle name="Normal 5" xfId="1271"/>
    <cellStyle name="Comma 2 2 3" xfId="1272"/>
    <cellStyle name="Normal 2 2 3" xfId="1273"/>
    <cellStyle name="Currency 3 2" xfId="1274"/>
    <cellStyle name="Normal 2 3 2" xfId="1275"/>
    <cellStyle name="Comma 4 2" xfId="1276"/>
    <cellStyle name="Comma 4 3" xfId="1277"/>
    <cellStyle name="Comma 4 4" xfId="1278"/>
    <cellStyle name="Comma 4 5" xfId="1279"/>
    <cellStyle name="Обычный 3" xfId="1280"/>
    <cellStyle name="Normal 2 3 3" xfId="1281"/>
    <cellStyle name="Comma 4 6" xfId="1282"/>
    <cellStyle name="Comma 4 7" xfId="1283"/>
    <cellStyle name="Normal 6" xfId="1284"/>
    <cellStyle name="Currency 4" xfId="1285"/>
    <cellStyle name="Comma 5" xfId="1286"/>
    <cellStyle name="Comma 2 2 2 3" xfId="1287"/>
    <cellStyle name="Comma 2 2 2 3 2" xfId="1288"/>
    <cellStyle name="Comma 2 2 2 3 2 2" xfId="1289"/>
    <cellStyle name="Comma 2 2 3 2" xfId="1290"/>
    <cellStyle name="Comma 2 2 3 2 2" xfId="1291"/>
    <cellStyle name="Comma 2 3 3" xfId="1292"/>
    <cellStyle name="Comma 2 3 3 2" xfId="1293"/>
    <cellStyle name="Comma 2 3 3 2 2" xfId="1294"/>
    <cellStyle name="Comma 2 4 3" xfId="1295"/>
    <cellStyle name="Comma 2 4 3 2" xfId="1296"/>
    <cellStyle name="Comma 2 4 3 2 2" xfId="1297"/>
    <cellStyle name="Comma 2 4 4" xfId="1298"/>
    <cellStyle name="Comma 2 4 4 2" xfId="1299"/>
    <cellStyle name="Comma 2 4 4 2 2" xfId="1300"/>
    <cellStyle name="Comma 2 4 5" xfId="1301"/>
    <cellStyle name="Comma 2 4 5 2" xfId="1302"/>
    <cellStyle name="Comma 2 4 5 2 2" xfId="1303"/>
    <cellStyle name="Currency 2 3" xfId="1304"/>
    <cellStyle name="Currency 5" xfId="1305"/>
    <cellStyle name="Currency 6" xfId="1306"/>
    <cellStyle name="Hyperlink 2" xfId="1307"/>
    <cellStyle name="Normal 10" xfId="1308"/>
    <cellStyle name="Normal 2 2 3 2" xfId="1309"/>
    <cellStyle name="Normal 2 2 3 2 2" xfId="1310"/>
    <cellStyle name="Normal 2 2_MCXETA yazarma- Copy" xfId="1311"/>
    <cellStyle name="Normal 2_---SUL--- GORI-HOSPITALI-BOLO" xfId="1312"/>
    <cellStyle name="Normal 30" xfId="1313"/>
    <cellStyle name="Normal 6 2" xfId="1314"/>
    <cellStyle name="Normal 7" xfId="1315"/>
    <cellStyle name="Normal 8" xfId="1316"/>
    <cellStyle name="Normal 9" xfId="1317"/>
    <cellStyle name="Normal 11" xfId="1318"/>
    <cellStyle name="Normal 12" xfId="1319"/>
    <cellStyle name="Normal 13" xfId="1320"/>
    <cellStyle name="Normal 14" xfId="1321"/>
    <cellStyle name="Normal 15" xfId="1322"/>
    <cellStyle name="Normal 16" xfId="1323"/>
    <cellStyle name="Normal 17" xfId="1324"/>
    <cellStyle name="Normal 18" xfId="1325"/>
    <cellStyle name="Normal 19" xfId="1326"/>
    <cellStyle name="Normal 20" xfId="1327"/>
    <cellStyle name="Normal 21" xfId="1328"/>
    <cellStyle name="Normal 22" xfId="1329"/>
    <cellStyle name="Normal 23" xfId="1330"/>
    <cellStyle name="Comma 6" xfId="1331"/>
    <cellStyle name="Normal 24" xfId="1332"/>
    <cellStyle name="normální 2" xfId="1333"/>
    <cellStyle name="procent 2" xfId="1334"/>
    <cellStyle name="Обычный_HP1100 V7.0_KONVERTOR_Приват_25.06.2009" xfId="1335"/>
    <cellStyle name="Normal 25" xfId="1336"/>
    <cellStyle name="Currency 7" xfId="1337"/>
    <cellStyle name="Comma 7" xfId="1338"/>
    <cellStyle name="Normal 26" xfId="1339"/>
    <cellStyle name="Normal 27" xfId="1340"/>
    <cellStyle name="Normal 28" xfId="1341"/>
    <cellStyle name="Normal 29" xfId="1342"/>
    <cellStyle name="Normal 31" xfId="1343"/>
    <cellStyle name="Normal 32" xfId="1344"/>
    <cellStyle name="Normal 33" xfId="1345"/>
    <cellStyle name="Normal 34" xfId="1346"/>
    <cellStyle name="Normal 35" xfId="1347"/>
    <cellStyle name="Normal 36" xfId="1348"/>
    <cellStyle name="Normal 37" xfId="1349"/>
    <cellStyle name="Normal 38" xfId="1350"/>
    <cellStyle name="Normal 39" xfId="1351"/>
    <cellStyle name="Normal 40" xfId="1352"/>
    <cellStyle name="Normal 41" xfId="1353"/>
    <cellStyle name="Normal 42" xfId="1354"/>
    <cellStyle name="Normal 43" xfId="1355"/>
    <cellStyle name="Normal 44" xfId="1356"/>
    <cellStyle name="Normal 45" xfId="1357"/>
    <cellStyle name="Normal 46" xfId="1358"/>
    <cellStyle name="Normal 47" xfId="1359"/>
    <cellStyle name="Normal 48" xfId="1360"/>
    <cellStyle name="Normal 49" xfId="1361"/>
    <cellStyle name="Normal 50" xfId="1362"/>
    <cellStyle name="Normal 51" xfId="1363"/>
    <cellStyle name="Normal 52" xfId="1364"/>
    <cellStyle name="Normal 53" xfId="1365"/>
    <cellStyle name="Normal 54" xfId="1366"/>
    <cellStyle name="Normal 55" xfId="1367"/>
    <cellStyle name="Normal 56" xfId="1368"/>
    <cellStyle name="Normal 57" xfId="1369"/>
    <cellStyle name="Comma 4 8" xfId="1370"/>
    <cellStyle name="Normal 5 2" xfId="1371"/>
    <cellStyle name="Normal 58" xfId="1372"/>
    <cellStyle name="Normal 58 2" xfId="1373"/>
    <cellStyle name="Normal 2 4" xfId="1374"/>
    <cellStyle name="Normal 59" xfId="1375"/>
    <cellStyle name="Currency 8" xfId="1376"/>
    <cellStyle name="Comma 8" xfId="1377"/>
    <cellStyle name="Normal 58 3" xfId="13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&#225;ce\Inovat\_vzory\NKC%20xxx_15_V1%20elektroinstalace%201505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2"/>
  <sheetViews>
    <sheetView zoomScale="85" zoomScaleNormal="85" workbookViewId="0" topLeftCell="A1">
      <selection activeCell="F9" sqref="F9"/>
    </sheetView>
  </sheetViews>
  <sheetFormatPr defaultColWidth="11.00390625" defaultRowHeight="15.75"/>
  <cols>
    <col min="1" max="1" width="4.125" style="0" customWidth="1"/>
    <col min="2" max="2" width="50.125" style="0" customWidth="1"/>
    <col min="3" max="3" width="8.125" style="0" customWidth="1"/>
    <col min="4" max="4" width="19.875" style="0" bestFit="1" customWidth="1"/>
    <col min="5" max="5" width="21.50390625" style="0" customWidth="1"/>
    <col min="6" max="6" width="20.375" style="0" customWidth="1"/>
  </cols>
  <sheetData>
    <row r="1" ht="18">
      <c r="E1" s="560"/>
    </row>
    <row r="2" spans="1:3" ht="17.4">
      <c r="A2" s="817" t="s">
        <v>36</v>
      </c>
      <c r="B2" s="817"/>
      <c r="C2" s="817"/>
    </row>
    <row r="3" ht="15.75">
      <c r="A3" s="465"/>
    </row>
    <row r="4" spans="1:2" ht="16.2" thickBot="1">
      <c r="A4" s="818" t="s">
        <v>49</v>
      </c>
      <c r="B4" s="818"/>
    </row>
    <row r="5" spans="1:6" ht="16.2" thickBot="1">
      <c r="A5" s="465"/>
      <c r="E5" s="819" t="s">
        <v>51</v>
      </c>
      <c r="F5" s="820"/>
    </row>
    <row r="6" spans="1:6" ht="16.2" thickBot="1">
      <c r="A6" s="467" t="s">
        <v>29</v>
      </c>
      <c r="B6" s="468"/>
      <c r="C6" s="469"/>
      <c r="D6" s="471"/>
      <c r="E6" s="821">
        <v>98668</v>
      </c>
      <c r="F6" s="822"/>
    </row>
    <row r="7" spans="1:6" ht="31.8" thickBot="1">
      <c r="A7" s="470"/>
      <c r="B7" s="470"/>
      <c r="C7" s="585"/>
      <c r="D7" s="472"/>
      <c r="E7" s="473" t="s">
        <v>30</v>
      </c>
      <c r="F7" s="473" t="s">
        <v>31</v>
      </c>
    </row>
    <row r="8" spans="1:6" ht="16.2" thickBot="1">
      <c r="A8" s="814"/>
      <c r="B8" s="815"/>
      <c r="C8" s="815"/>
      <c r="D8" s="815"/>
      <c r="E8" s="815"/>
      <c r="F8" s="816"/>
    </row>
    <row r="9" spans="1:6" ht="16.2" thickBot="1">
      <c r="A9" s="474">
        <v>1</v>
      </c>
      <c r="B9" s="475" t="s">
        <v>48</v>
      </c>
      <c r="C9" s="466"/>
      <c r="D9" s="476">
        <f>'1-მოსამზადებელი სამუშაოები'!C12</f>
        <v>0</v>
      </c>
      <c r="E9" s="476">
        <f>D9/$E$6</f>
        <v>0</v>
      </c>
      <c r="F9" s="477" t="e">
        <f>D9/#REF!</f>
        <v>#REF!</v>
      </c>
    </row>
    <row r="10" spans="1:6" ht="23.25" customHeight="1" thickBot="1">
      <c r="A10" s="561" t="s">
        <v>38</v>
      </c>
      <c r="B10" s="562"/>
      <c r="C10" s="562"/>
      <c r="D10" s="562"/>
      <c r="E10" s="562"/>
      <c r="F10" s="563"/>
    </row>
    <row r="11" spans="1:6" ht="15.75">
      <c r="A11" s="478">
        <v>3</v>
      </c>
      <c r="B11" s="514" t="s">
        <v>40</v>
      </c>
      <c r="C11" s="479"/>
      <c r="D11" s="480">
        <f>'3-თეთრი კარკასი-პარკინგი'!I4</f>
        <v>0</v>
      </c>
      <c r="E11" s="480">
        <f aca="true" t="shared" si="0" ref="E11:E13">D11/$E$6</f>
        <v>0</v>
      </c>
      <c r="F11" s="481" t="e">
        <f>D11/#REF!</f>
        <v>#REF!</v>
      </c>
    </row>
    <row r="12" spans="1:6" ht="15.75">
      <c r="A12" s="478">
        <v>4</v>
      </c>
      <c r="B12" s="515" t="s">
        <v>41</v>
      </c>
      <c r="C12" s="482"/>
      <c r="D12" s="484">
        <f>'4- თეთრი კარკასი-მოლი'!I4</f>
        <v>0</v>
      </c>
      <c r="E12" s="484">
        <f t="shared" si="0"/>
        <v>0</v>
      </c>
      <c r="F12" s="485" t="e">
        <f>D12/#REF!</f>
        <v>#REF!</v>
      </c>
    </row>
    <row r="13" spans="1:6" ht="16.2" thickBot="1">
      <c r="A13" s="478">
        <v>5</v>
      </c>
      <c r="B13" s="515" t="s">
        <v>42</v>
      </c>
      <c r="C13" s="482"/>
      <c r="D13" s="484">
        <f>'5-თეთრი კარკასი - ოფისი'!I4</f>
        <v>0</v>
      </c>
      <c r="E13" s="569">
        <f t="shared" si="0"/>
        <v>0</v>
      </c>
      <c r="F13" s="485" t="e">
        <f>D13/#REF!</f>
        <v>#REF!</v>
      </c>
    </row>
    <row r="14" spans="1:6" ht="23.25" customHeight="1" thickBot="1">
      <c r="A14" s="561" t="s">
        <v>39</v>
      </c>
      <c r="B14" s="562"/>
      <c r="C14" s="562"/>
      <c r="D14" s="562"/>
      <c r="E14" s="562"/>
      <c r="F14" s="563"/>
    </row>
    <row r="15" spans="1:6" ht="15.75">
      <c r="A15" s="486">
        <v>6</v>
      </c>
      <c r="B15" s="488" t="s">
        <v>43</v>
      </c>
      <c r="C15" s="482"/>
      <c r="D15" s="487">
        <f>'6-პარკინგი'!I4</f>
        <v>0</v>
      </c>
      <c r="E15" s="487">
        <f aca="true" t="shared" si="1" ref="E15">D15/$E$6</f>
        <v>0</v>
      </c>
      <c r="F15" s="485" t="e">
        <f>D15/#REF!</f>
        <v>#REF!</v>
      </c>
    </row>
    <row r="16" spans="1:6" ht="15.75">
      <c r="A16" s="486">
        <v>7</v>
      </c>
      <c r="B16" s="495" t="s">
        <v>44</v>
      </c>
      <c r="C16" s="482"/>
      <c r="D16" s="484">
        <f>'7- მოლი'!I4</f>
        <v>0</v>
      </c>
      <c r="E16" s="569">
        <f aca="true" t="shared" si="2" ref="E16:E19">D16/$E$6</f>
        <v>0</v>
      </c>
      <c r="F16" s="497" t="e">
        <f>D16/#REF!</f>
        <v>#REF!</v>
      </c>
    </row>
    <row r="17" spans="1:6" ht="15.75">
      <c r="A17" s="486">
        <v>8</v>
      </c>
      <c r="B17" s="495" t="s">
        <v>272</v>
      </c>
      <c r="C17" s="482"/>
      <c r="D17" s="484">
        <f>'8-ოფისი'!I4</f>
        <v>0</v>
      </c>
      <c r="E17" s="569">
        <f aca="true" t="shared" si="3" ref="E17">D17/$E$6</f>
        <v>0</v>
      </c>
      <c r="F17" s="497" t="e">
        <f>D17/#REF!</f>
        <v>#REF!</v>
      </c>
    </row>
    <row r="18" spans="1:6" ht="15.75">
      <c r="A18" s="486">
        <v>9</v>
      </c>
      <c r="B18" s="496" t="s">
        <v>45</v>
      </c>
      <c r="C18" s="482"/>
      <c r="D18" s="484">
        <f>'9-კიბის უჯრედი'!I4</f>
        <v>0</v>
      </c>
      <c r="E18" s="569">
        <f t="shared" si="2"/>
        <v>0</v>
      </c>
      <c r="F18" s="497" t="e">
        <f>D18/#REF!</f>
        <v>#REF!</v>
      </c>
    </row>
    <row r="19" spans="1:6" ht="15.75">
      <c r="A19" s="486">
        <v>10</v>
      </c>
      <c r="B19" s="488" t="s">
        <v>46</v>
      </c>
      <c r="C19" s="482"/>
      <c r="D19" s="484">
        <f>'10-ფასადი'!I4</f>
        <v>0</v>
      </c>
      <c r="E19" s="569">
        <f t="shared" si="2"/>
        <v>0</v>
      </c>
      <c r="F19" s="485" t="e">
        <f>D19/#REF!</f>
        <v>#REF!</v>
      </c>
    </row>
    <row r="20" spans="1:6" ht="15.75">
      <c r="A20" s="486">
        <v>11</v>
      </c>
      <c r="B20" s="488" t="s">
        <v>47</v>
      </c>
      <c r="C20" s="482"/>
      <c r="D20" s="484">
        <f>'11-კარები'!I4</f>
        <v>0</v>
      </c>
      <c r="E20" s="569">
        <f aca="true" t="shared" si="4" ref="E20">D20/$E$6</f>
        <v>0</v>
      </c>
      <c r="F20" s="485" t="e">
        <f>D20/#REF!</f>
        <v>#REF!</v>
      </c>
    </row>
    <row r="21" spans="1:6" ht="16.2" thickBot="1">
      <c r="A21" s="486">
        <v>12</v>
      </c>
      <c r="B21" s="488" t="s">
        <v>252</v>
      </c>
      <c r="C21" s="482"/>
      <c r="D21" s="484">
        <f>'12-გარე კეთილმოწყობა'!J4</f>
        <v>0</v>
      </c>
      <c r="E21" s="569">
        <f aca="true" t="shared" si="5" ref="E21">D21/$E$6</f>
        <v>0</v>
      </c>
      <c r="F21" s="485" t="e">
        <f>D21/#REF!</f>
        <v>#REF!</v>
      </c>
    </row>
    <row r="22" spans="1:6" ht="16.2" thickBot="1">
      <c r="A22" s="814"/>
      <c r="B22" s="815"/>
      <c r="C22" s="815"/>
      <c r="D22" s="815"/>
      <c r="E22" s="815"/>
      <c r="F22" s="816"/>
    </row>
    <row r="23" spans="1:6" ht="21" customHeight="1">
      <c r="A23" s="478"/>
      <c r="B23" s="587" t="s">
        <v>297</v>
      </c>
      <c r="C23" s="808"/>
      <c r="D23" s="809">
        <f>SUM(D7:D21)</f>
        <v>0</v>
      </c>
      <c r="E23" s="567">
        <f>D23/$E$6</f>
        <v>0</v>
      </c>
      <c r="F23" s="568"/>
    </row>
    <row r="24" spans="1:6" ht="15.75">
      <c r="A24" s="486"/>
      <c r="B24" s="586" t="s">
        <v>299</v>
      </c>
      <c r="C24" s="812">
        <v>2.45</v>
      </c>
      <c r="D24" s="483"/>
      <c r="E24" s="483"/>
      <c r="F24" s="489"/>
    </row>
    <row r="25" spans="1:6" ht="18.6" thickBot="1">
      <c r="A25" s="490"/>
      <c r="B25" s="491"/>
      <c r="C25" s="492"/>
      <c r="D25" s="493">
        <f>C24*D23</f>
        <v>0</v>
      </c>
      <c r="E25" s="493">
        <f>D25/$E$6</f>
        <v>0</v>
      </c>
      <c r="F25" s="494"/>
    </row>
    <row r="26" spans="1:3" ht="15.75">
      <c r="A26" s="462"/>
      <c r="C26" s="462"/>
    </row>
    <row r="27" spans="1:4" ht="15.75">
      <c r="A27" s="462"/>
      <c r="D27" s="58"/>
    </row>
    <row r="28" spans="1:2" ht="17.4">
      <c r="A28" s="462"/>
      <c r="B28" s="564"/>
    </row>
    <row r="29" ht="15.75">
      <c r="A29" s="462"/>
    </row>
    <row r="30" spans="1:4" ht="15.75">
      <c r="A30" s="462"/>
      <c r="D30" s="58"/>
    </row>
    <row r="31" ht="15.75">
      <c r="D31" s="58"/>
    </row>
    <row r="32" ht="15.75">
      <c r="D32" s="58"/>
    </row>
    <row r="34" ht="15.75">
      <c r="D34" s="56"/>
    </row>
    <row r="35" ht="15.75">
      <c r="D35" s="57"/>
    </row>
    <row r="36" ht="15.75">
      <c r="D36" s="57"/>
    </row>
    <row r="37" ht="15.75">
      <c r="D37" s="57"/>
    </row>
    <row r="38" ht="15.75">
      <c r="D38" s="57"/>
    </row>
    <row r="39" ht="15.75">
      <c r="D39" s="57"/>
    </row>
    <row r="40" ht="15.75">
      <c r="D40" s="57"/>
    </row>
    <row r="41" ht="15.75">
      <c r="D41" s="57"/>
    </row>
    <row r="42" ht="15.75">
      <c r="D42" s="57"/>
    </row>
  </sheetData>
  <mergeCells count="6">
    <mergeCell ref="A22:F22"/>
    <mergeCell ref="A2:C2"/>
    <mergeCell ref="A4:B4"/>
    <mergeCell ref="E5:F5"/>
    <mergeCell ref="E6:F6"/>
    <mergeCell ref="A8:F8"/>
  </mergeCells>
  <printOptions/>
  <pageMargins left="0.4117647058823529" right="0.31" top="1" bottom="1" header="0.5" footer="0.5"/>
  <pageSetup fitToHeight="1" fitToWidth="1" horizontalDpi="600" verticalDpi="600" orientation="portrait" paperSize="9" r:id="rId1"/>
  <headerFooter>
    <oddFooter>&amp;L&amp;"Calibri,Regular"&amp;K000000For any queries please contact at:    cmc@cmconsulting.ge &amp;R&amp;"Calibri,Regular"&amp;K000000&amp;N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0"/>
  <sheetViews>
    <sheetView tabSelected="1" zoomScalePageLayoutView="130" workbookViewId="0" topLeftCell="A12">
      <selection activeCell="A41" sqref="A41"/>
    </sheetView>
  </sheetViews>
  <sheetFormatPr defaultColWidth="11.00390625" defaultRowHeight="15.75"/>
  <cols>
    <col min="1" max="1" width="2.25390625" style="0" bestFit="1" customWidth="1"/>
    <col min="2" max="2" width="8.375" style="0" customWidth="1"/>
    <col min="3" max="3" width="41.625" style="59" customWidth="1"/>
    <col min="7" max="7" width="12.00390625" style="59" customWidth="1"/>
    <col min="8" max="8" width="12.625" style="59" customWidth="1"/>
    <col min="9" max="10" width="20.25390625" style="59" bestFit="1" customWidth="1"/>
    <col min="11" max="11" width="18.25390625" style="187" bestFit="1" customWidth="1"/>
    <col min="12" max="12" width="14.625" style="58" bestFit="1" customWidth="1"/>
    <col min="13" max="13" width="11.00390625" style="58" customWidth="1"/>
    <col min="15" max="15" width="11.00390625" style="698" customWidth="1"/>
    <col min="16" max="16" width="11.25390625" style="698" bestFit="1" customWidth="1"/>
  </cols>
  <sheetData>
    <row r="1" spans="1:16" s="6" customFormat="1" ht="18" thickBot="1">
      <c r="A1" s="69"/>
      <c r="B1" s="60"/>
      <c r="C1" s="817" t="str">
        <f>TOTAL!A2</f>
        <v>სითი მოლი საბურთალო</v>
      </c>
      <c r="D1" s="817"/>
      <c r="E1" s="817"/>
      <c r="F1" s="451"/>
      <c r="G1" s="1"/>
      <c r="H1" s="451"/>
      <c r="I1" s="189"/>
      <c r="J1" s="190"/>
      <c r="K1" s="293"/>
      <c r="L1" s="135"/>
      <c r="M1" s="135"/>
      <c r="O1" s="527"/>
      <c r="P1" s="527"/>
    </row>
    <row r="2" spans="1:16" s="6" customFormat="1" ht="18" thickBot="1">
      <c r="A2" s="860" t="s">
        <v>275</v>
      </c>
      <c r="B2" s="860"/>
      <c r="C2" s="861"/>
      <c r="D2" s="629"/>
      <c r="E2" s="1"/>
      <c r="F2" s="451"/>
      <c r="G2" s="1"/>
      <c r="H2" s="290"/>
      <c r="I2" s="838"/>
      <c r="J2" s="839"/>
      <c r="K2" s="840"/>
      <c r="L2" s="128"/>
      <c r="M2" s="128"/>
      <c r="O2" s="527"/>
      <c r="P2" s="528"/>
    </row>
    <row r="3" spans="1:16" s="6" customFormat="1" ht="16.2" thickBot="1">
      <c r="A3" s="841"/>
      <c r="B3" s="841"/>
      <c r="C3" s="45"/>
      <c r="E3" s="45"/>
      <c r="F3" s="45"/>
      <c r="G3" s="45"/>
      <c r="H3" s="291"/>
      <c r="I3" s="631" t="s">
        <v>62</v>
      </c>
      <c r="J3" s="628" t="s">
        <v>63</v>
      </c>
      <c r="K3" s="670" t="s">
        <v>64</v>
      </c>
      <c r="L3" s="128"/>
      <c r="M3" s="128"/>
      <c r="O3" s="529"/>
      <c r="P3" s="528"/>
    </row>
    <row r="4" spans="1:16" s="6" customFormat="1" ht="15.75" thickBot="1">
      <c r="A4" s="69"/>
      <c r="B4" s="60"/>
      <c r="C4" s="168"/>
      <c r="D4" s="47"/>
      <c r="E4" s="46"/>
      <c r="F4" s="46"/>
      <c r="G4" s="46"/>
      <c r="H4" s="292"/>
      <c r="I4" s="530">
        <f>K59</f>
        <v>0</v>
      </c>
      <c r="J4" s="531">
        <f>I4*K4</f>
        <v>0</v>
      </c>
      <c r="K4" s="658">
        <f>TOTAL!C24</f>
        <v>2.45</v>
      </c>
      <c r="L4" s="128"/>
      <c r="M4" s="128"/>
      <c r="O4" s="532"/>
      <c r="P4" s="528"/>
    </row>
    <row r="5" spans="1:16" s="6" customFormat="1" ht="10.2">
      <c r="A5" s="69"/>
      <c r="B5" s="60"/>
      <c r="C5" s="1"/>
      <c r="D5" s="47"/>
      <c r="E5" s="46"/>
      <c r="F5" s="46"/>
      <c r="G5" s="46"/>
      <c r="H5" s="46"/>
      <c r="I5" s="533"/>
      <c r="J5" s="68"/>
      <c r="K5" s="662"/>
      <c r="L5" s="128"/>
      <c r="M5" s="128"/>
      <c r="O5" s="532"/>
      <c r="P5" s="528"/>
    </row>
    <row r="6" spans="1:16" s="6" customFormat="1" ht="10.8" thickBot="1">
      <c r="A6" s="69"/>
      <c r="B6" s="60"/>
      <c r="C6" s="1"/>
      <c r="D6" s="629"/>
      <c r="E6" s="629"/>
      <c r="F6" s="3"/>
      <c r="G6" s="629"/>
      <c r="H6" s="3"/>
      <c r="I6" s="629"/>
      <c r="J6" s="451"/>
      <c r="K6" s="127"/>
      <c r="L6" s="68"/>
      <c r="M6" s="68"/>
      <c r="O6" s="534"/>
      <c r="P6" s="534"/>
    </row>
    <row r="7" spans="1:16" s="6" customFormat="1" ht="15" customHeight="1" thickBot="1">
      <c r="A7" s="842" t="s">
        <v>0</v>
      </c>
      <c r="B7" s="844" t="s">
        <v>61</v>
      </c>
      <c r="C7" s="633" t="s">
        <v>52</v>
      </c>
      <c r="D7" s="846" t="s">
        <v>53</v>
      </c>
      <c r="E7" s="838" t="s">
        <v>50</v>
      </c>
      <c r="F7" s="840"/>
      <c r="G7" s="838" t="s">
        <v>54</v>
      </c>
      <c r="H7" s="840"/>
      <c r="I7" s="838" t="s">
        <v>55</v>
      </c>
      <c r="J7" s="840"/>
      <c r="K7" s="830" t="s">
        <v>56</v>
      </c>
      <c r="L7" s="830" t="s">
        <v>57</v>
      </c>
      <c r="M7" s="830" t="s">
        <v>58</v>
      </c>
      <c r="O7" s="535"/>
      <c r="P7" s="535"/>
    </row>
    <row r="8" spans="1:16" s="6" customFormat="1" ht="21" thickBot="1">
      <c r="A8" s="843"/>
      <c r="B8" s="845"/>
      <c r="C8" s="634"/>
      <c r="D8" s="847"/>
      <c r="E8" s="281" t="s">
        <v>59</v>
      </c>
      <c r="F8" s="282" t="s">
        <v>56</v>
      </c>
      <c r="G8" s="281" t="s">
        <v>60</v>
      </c>
      <c r="H8" s="282" t="s">
        <v>56</v>
      </c>
      <c r="I8" s="281" t="s">
        <v>60</v>
      </c>
      <c r="J8" s="282" t="s">
        <v>56</v>
      </c>
      <c r="K8" s="831"/>
      <c r="L8" s="831"/>
      <c r="M8" s="831"/>
      <c r="O8" s="259" t="s">
        <v>148</v>
      </c>
      <c r="P8" s="542" t="s">
        <v>149</v>
      </c>
    </row>
    <row r="9" spans="1:16" s="6" customFormat="1" ht="10.8" thickBot="1">
      <c r="A9" s="275" t="s">
        <v>1</v>
      </c>
      <c r="B9" s="283">
        <v>2</v>
      </c>
      <c r="C9" s="287" t="s">
        <v>2</v>
      </c>
      <c r="D9" s="280" t="s">
        <v>3</v>
      </c>
      <c r="E9" s="274" t="s">
        <v>14</v>
      </c>
      <c r="F9" s="280" t="s">
        <v>4</v>
      </c>
      <c r="G9" s="274" t="s">
        <v>5</v>
      </c>
      <c r="H9" s="280" t="s">
        <v>6</v>
      </c>
      <c r="I9" s="274" t="s">
        <v>7</v>
      </c>
      <c r="J9" s="280" t="s">
        <v>8</v>
      </c>
      <c r="K9" s="279" t="s">
        <v>9</v>
      </c>
      <c r="L9" s="279" t="s">
        <v>27</v>
      </c>
      <c r="M9" s="279" t="s">
        <v>25</v>
      </c>
      <c r="O9" s="274" t="s">
        <v>18</v>
      </c>
      <c r="P9" s="275" t="s">
        <v>26</v>
      </c>
    </row>
    <row r="10" spans="1:16" s="6" customFormat="1" ht="10.8" thickBot="1">
      <c r="A10" s="284"/>
      <c r="B10" s="285"/>
      <c r="C10" s="288"/>
      <c r="D10" s="286"/>
      <c r="E10" s="289"/>
      <c r="F10" s="288"/>
      <c r="G10" s="288"/>
      <c r="H10" s="185"/>
      <c r="I10" s="288"/>
      <c r="J10" s="54"/>
      <c r="K10" s="129"/>
      <c r="L10" s="129"/>
      <c r="M10" s="129"/>
      <c r="O10" s="671"/>
      <c r="P10" s="537"/>
    </row>
    <row r="11" spans="1:16" s="451" customFormat="1" ht="10.2">
      <c r="A11" s="445">
        <v>1</v>
      </c>
      <c r="B11" s="389"/>
      <c r="C11" s="352" t="s">
        <v>288</v>
      </c>
      <c r="D11" s="327" t="s">
        <v>81</v>
      </c>
      <c r="E11" s="672"/>
      <c r="F11" s="400">
        <f>172.9+125.2</f>
        <v>298.1</v>
      </c>
      <c r="G11" s="327"/>
      <c r="H11" s="325"/>
      <c r="I11" s="327">
        <f>P11/$K$4</f>
        <v>0</v>
      </c>
      <c r="J11" s="325">
        <f>F11*I11</f>
        <v>0</v>
      </c>
      <c r="K11" s="253">
        <f>H11+J11</f>
        <v>0</v>
      </c>
      <c r="L11" s="509">
        <f>SUM(K11:K16)</f>
        <v>0</v>
      </c>
      <c r="M11" s="673">
        <f>L11/F11</f>
        <v>0</v>
      </c>
      <c r="O11" s="363"/>
      <c r="P11" s="674"/>
    </row>
    <row r="12" spans="1:16" s="451" customFormat="1" ht="10.2">
      <c r="A12" s="91"/>
      <c r="B12" s="675"/>
      <c r="C12" s="264" t="s">
        <v>177</v>
      </c>
      <c r="D12" s="260" t="s">
        <v>81</v>
      </c>
      <c r="E12" s="676">
        <v>1.05</v>
      </c>
      <c r="F12" s="677">
        <f>$F$11*E12</f>
        <v>313.00500000000005</v>
      </c>
      <c r="G12" s="678">
        <f>O12/K4</f>
        <v>0</v>
      </c>
      <c r="H12" s="262">
        <f>G12*F12</f>
        <v>0</v>
      </c>
      <c r="I12" s="305"/>
      <c r="J12" s="538"/>
      <c r="K12" s="679">
        <f>J12+H12</f>
        <v>0</v>
      </c>
      <c r="L12" s="138"/>
      <c r="M12" s="138"/>
      <c r="O12" s="263"/>
      <c r="P12" s="680"/>
    </row>
    <row r="13" spans="1:16" s="451" customFormat="1" ht="10.2">
      <c r="A13" s="91"/>
      <c r="B13" s="675"/>
      <c r="C13" s="264" t="s">
        <v>178</v>
      </c>
      <c r="D13" s="305" t="s">
        <v>73</v>
      </c>
      <c r="E13" s="676">
        <v>6</v>
      </c>
      <c r="F13" s="677">
        <f>$F$11*E13</f>
        <v>1788.6000000000001</v>
      </c>
      <c r="G13" s="678">
        <f>O13/K4</f>
        <v>0</v>
      </c>
      <c r="H13" s="262">
        <f aca="true" t="shared" si="0" ref="H13:H16">G13*F13</f>
        <v>0</v>
      </c>
      <c r="I13" s="305"/>
      <c r="J13" s="382"/>
      <c r="K13" s="679">
        <f aca="true" t="shared" si="1" ref="K13:K16">J13+H13</f>
        <v>0</v>
      </c>
      <c r="L13" s="138"/>
      <c r="M13" s="138"/>
      <c r="O13" s="263"/>
      <c r="P13" s="680"/>
    </row>
    <row r="14" spans="1:16" s="451" customFormat="1" ht="10.2">
      <c r="A14" s="91"/>
      <c r="B14" s="675"/>
      <c r="C14" s="264" t="s">
        <v>289</v>
      </c>
      <c r="D14" s="260" t="s">
        <v>81</v>
      </c>
      <c r="E14" s="676">
        <v>1.05</v>
      </c>
      <c r="F14" s="677">
        <f>$F$11*E14</f>
        <v>313.00500000000005</v>
      </c>
      <c r="G14" s="678">
        <f>O14/K4</f>
        <v>0</v>
      </c>
      <c r="H14" s="262">
        <f t="shared" si="0"/>
        <v>0</v>
      </c>
      <c r="I14" s="305"/>
      <c r="J14" s="326"/>
      <c r="K14" s="679">
        <f t="shared" si="1"/>
        <v>0</v>
      </c>
      <c r="L14" s="138"/>
      <c r="M14" s="138"/>
      <c r="O14" s="263"/>
      <c r="P14" s="680"/>
    </row>
    <row r="15" spans="1:16" s="451" customFormat="1" ht="10.2">
      <c r="A15" s="91"/>
      <c r="B15" s="675"/>
      <c r="C15" s="264" t="s">
        <v>199</v>
      </c>
      <c r="D15" s="261" t="s">
        <v>81</v>
      </c>
      <c r="E15" s="676">
        <v>1.05</v>
      </c>
      <c r="F15" s="677">
        <f>$F$11*E15</f>
        <v>313.00500000000005</v>
      </c>
      <c r="G15" s="678">
        <f>O15/K4</f>
        <v>0</v>
      </c>
      <c r="H15" s="262">
        <f t="shared" si="0"/>
        <v>0</v>
      </c>
      <c r="I15" s="305"/>
      <c r="J15" s="326"/>
      <c r="K15" s="679">
        <f t="shared" si="1"/>
        <v>0</v>
      </c>
      <c r="L15" s="138"/>
      <c r="M15" s="138"/>
      <c r="O15" s="263"/>
      <c r="P15" s="680"/>
    </row>
    <row r="16" spans="1:16" s="6" customFormat="1" ht="10.8" thickBot="1">
      <c r="A16" s="447"/>
      <c r="B16" s="683"/>
      <c r="C16" s="684" t="s">
        <v>179</v>
      </c>
      <c r="D16" s="450" t="s">
        <v>73</v>
      </c>
      <c r="E16" s="685">
        <v>1</v>
      </c>
      <c r="F16" s="677">
        <f>$F$11*E16</f>
        <v>298.1</v>
      </c>
      <c r="G16" s="678">
        <f>O16/K4</f>
        <v>0</v>
      </c>
      <c r="H16" s="262">
        <f t="shared" si="0"/>
        <v>0</v>
      </c>
      <c r="I16" s="443"/>
      <c r="J16" s="638"/>
      <c r="K16" s="679">
        <f t="shared" si="1"/>
        <v>0</v>
      </c>
      <c r="L16" s="138"/>
      <c r="M16" s="138"/>
      <c r="O16" s="267"/>
      <c r="P16" s="686"/>
    </row>
    <row r="17" spans="1:16" s="451" customFormat="1" ht="16.95" customHeight="1">
      <c r="A17" s="445">
        <v>2</v>
      </c>
      <c r="B17" s="389"/>
      <c r="C17" s="352" t="s">
        <v>291</v>
      </c>
      <c r="D17" s="327" t="s">
        <v>81</v>
      </c>
      <c r="E17" s="672"/>
      <c r="F17" s="400">
        <f>255+1275</f>
        <v>1530</v>
      </c>
      <c r="G17" s="687"/>
      <c r="H17" s="339"/>
      <c r="I17" s="327">
        <f>P17/$K$4</f>
        <v>0</v>
      </c>
      <c r="J17" s="325">
        <f>F17*I17</f>
        <v>0</v>
      </c>
      <c r="K17" s="253">
        <f>H17+J17</f>
        <v>0</v>
      </c>
      <c r="L17" s="509">
        <f>SUM(K17:K22)</f>
        <v>0</v>
      </c>
      <c r="M17" s="673">
        <f>L17/F17</f>
        <v>0</v>
      </c>
      <c r="O17" s="363"/>
      <c r="P17" s="674"/>
    </row>
    <row r="18" spans="1:16" s="451" customFormat="1" ht="10.2">
      <c r="A18" s="90"/>
      <c r="B18" s="390"/>
      <c r="C18" s="264" t="s">
        <v>290</v>
      </c>
      <c r="D18" s="260" t="s">
        <v>81</v>
      </c>
      <c r="E18" s="676">
        <v>1.05</v>
      </c>
      <c r="F18" s="677">
        <f>E18*F17</f>
        <v>1606.5</v>
      </c>
      <c r="G18" s="688">
        <f>O18/$K$4</f>
        <v>0</v>
      </c>
      <c r="H18" s="517">
        <f>G18*F18</f>
        <v>0</v>
      </c>
      <c r="I18" s="328"/>
      <c r="J18" s="382"/>
      <c r="K18" s="258">
        <f>J18+H18</f>
        <v>0</v>
      </c>
      <c r="L18" s="138"/>
      <c r="M18" s="138"/>
      <c r="O18" s="794"/>
      <c r="P18" s="682"/>
    </row>
    <row r="19" spans="1:16" s="451" customFormat="1" ht="10.2">
      <c r="A19" s="90"/>
      <c r="B19" s="390"/>
      <c r="C19" s="264" t="s">
        <v>199</v>
      </c>
      <c r="D19" s="328" t="s">
        <v>81</v>
      </c>
      <c r="E19" s="676">
        <v>1.05</v>
      </c>
      <c r="F19" s="677">
        <f>E19*F17</f>
        <v>1606.5</v>
      </c>
      <c r="G19" s="688">
        <f aca="true" t="shared" si="2" ref="G19:G22">O19/$K$4</f>
        <v>0</v>
      </c>
      <c r="H19" s="517">
        <f aca="true" t="shared" si="3" ref="H19">G19*F19</f>
        <v>0</v>
      </c>
      <c r="I19" s="328"/>
      <c r="J19" s="382"/>
      <c r="K19" s="258">
        <f aca="true" t="shared" si="4" ref="K19">J19+H19</f>
        <v>0</v>
      </c>
      <c r="L19" s="138"/>
      <c r="M19" s="138"/>
      <c r="O19" s="794"/>
      <c r="P19" s="682"/>
    </row>
    <row r="20" spans="1:16" s="451" customFormat="1" ht="10.2">
      <c r="A20" s="90"/>
      <c r="B20" s="390"/>
      <c r="C20" s="264" t="s">
        <v>292</v>
      </c>
      <c r="D20" s="328" t="s">
        <v>81</v>
      </c>
      <c r="E20" s="676">
        <v>1.05</v>
      </c>
      <c r="F20" s="677">
        <f>E20*F17</f>
        <v>1606.5</v>
      </c>
      <c r="G20" s="688">
        <f aca="true" t="shared" si="5" ref="G20">O20/$K$4</f>
        <v>0</v>
      </c>
      <c r="H20" s="517">
        <f aca="true" t="shared" si="6" ref="H20">G20*F20</f>
        <v>0</v>
      </c>
      <c r="I20" s="328"/>
      <c r="J20" s="382"/>
      <c r="K20" s="258">
        <f aca="true" t="shared" si="7" ref="K20">J20+H20</f>
        <v>0</v>
      </c>
      <c r="L20" s="138"/>
      <c r="M20" s="138"/>
      <c r="O20" s="794"/>
      <c r="P20" s="682"/>
    </row>
    <row r="21" spans="1:16" s="6" customFormat="1" ht="10.2">
      <c r="A21" s="91"/>
      <c r="B21" s="349"/>
      <c r="C21" s="501" t="s">
        <v>147</v>
      </c>
      <c r="D21" s="502" t="s">
        <v>77</v>
      </c>
      <c r="E21" s="413">
        <v>0.035</v>
      </c>
      <c r="F21" s="301">
        <f>E21*F17</f>
        <v>53.550000000000004</v>
      </c>
      <c r="G21" s="688">
        <f t="shared" si="2"/>
        <v>0</v>
      </c>
      <c r="H21" s="313">
        <f>F21*G21</f>
        <v>0</v>
      </c>
      <c r="I21" s="315"/>
      <c r="J21" s="301"/>
      <c r="K21" s="131">
        <f>H21+J21</f>
        <v>0</v>
      </c>
      <c r="L21" s="139"/>
      <c r="M21" s="139"/>
      <c r="O21" s="176"/>
      <c r="P21" s="269"/>
    </row>
    <row r="22" spans="1:16" s="6" customFormat="1" ht="10.8" thickBot="1">
      <c r="A22" s="447"/>
      <c r="B22" s="683"/>
      <c r="C22" s="684" t="s">
        <v>179</v>
      </c>
      <c r="D22" s="689"/>
      <c r="E22" s="690">
        <v>1</v>
      </c>
      <c r="F22" s="677">
        <f>E22*F17</f>
        <v>1530</v>
      </c>
      <c r="G22" s="688">
        <f t="shared" si="2"/>
        <v>0</v>
      </c>
      <c r="H22" s="517">
        <f aca="true" t="shared" si="8" ref="H22">G22*F22</f>
        <v>0</v>
      </c>
      <c r="I22" s="443"/>
      <c r="J22" s="638"/>
      <c r="K22" s="258">
        <f aca="true" t="shared" si="9" ref="K22">J22+H22</f>
        <v>0</v>
      </c>
      <c r="L22" s="138"/>
      <c r="M22" s="138"/>
      <c r="O22" s="267"/>
      <c r="P22" s="682"/>
    </row>
    <row r="23" spans="1:16" s="451" customFormat="1" ht="16.95" customHeight="1">
      <c r="A23" s="445">
        <v>3</v>
      </c>
      <c r="B23" s="389"/>
      <c r="C23" s="352" t="s">
        <v>180</v>
      </c>
      <c r="D23" s="327" t="s">
        <v>81</v>
      </c>
      <c r="E23" s="672"/>
      <c r="F23" s="400">
        <f>29*48.3+12.8*55.3+10*75.6</f>
        <v>2864.54</v>
      </c>
      <c r="G23" s="687"/>
      <c r="H23" s="339"/>
      <c r="I23" s="327">
        <f>P23/K4</f>
        <v>0</v>
      </c>
      <c r="J23" s="325">
        <f>F23*I23</f>
        <v>0</v>
      </c>
      <c r="K23" s="253">
        <f>H23+J23</f>
        <v>0</v>
      </c>
      <c r="L23" s="509">
        <f>SUM(K23:K27)</f>
        <v>0</v>
      </c>
      <c r="M23" s="673">
        <f>L23/F23</f>
        <v>0</v>
      </c>
      <c r="O23" s="363"/>
      <c r="P23" s="674"/>
    </row>
    <row r="24" spans="1:16" s="451" customFormat="1" ht="10.2">
      <c r="A24" s="90"/>
      <c r="B24" s="390"/>
      <c r="C24" s="264" t="s">
        <v>177</v>
      </c>
      <c r="D24" s="260" t="s">
        <v>81</v>
      </c>
      <c r="E24" s="676">
        <f>E12</f>
        <v>1.05</v>
      </c>
      <c r="F24" s="677">
        <f>E24*F23</f>
        <v>3007.7670000000003</v>
      </c>
      <c r="G24" s="688">
        <f>O24/K4</f>
        <v>0</v>
      </c>
      <c r="H24" s="517">
        <f>G24*F24</f>
        <v>0</v>
      </c>
      <c r="I24" s="328"/>
      <c r="J24" s="382"/>
      <c r="K24" s="258">
        <f>J24+H24</f>
        <v>0</v>
      </c>
      <c r="L24" s="138"/>
      <c r="M24" s="138"/>
      <c r="O24" s="627"/>
      <c r="P24" s="682"/>
    </row>
    <row r="25" spans="1:16" s="451" customFormat="1" ht="10.2">
      <c r="A25" s="90"/>
      <c r="B25" s="390"/>
      <c r="C25" s="264" t="s">
        <v>178</v>
      </c>
      <c r="D25" s="328" t="s">
        <v>73</v>
      </c>
      <c r="E25" s="676">
        <v>6</v>
      </c>
      <c r="F25" s="677">
        <f>E25*F23</f>
        <v>17187.239999999998</v>
      </c>
      <c r="G25" s="688">
        <f>O25/K4</f>
        <v>0</v>
      </c>
      <c r="H25" s="517">
        <f aca="true" t="shared" si="10" ref="H25:H27">G25*F25</f>
        <v>0</v>
      </c>
      <c r="I25" s="328"/>
      <c r="J25" s="382"/>
      <c r="K25" s="258">
        <f aca="true" t="shared" si="11" ref="K25:K27">J25+H25</f>
        <v>0</v>
      </c>
      <c r="L25" s="138"/>
      <c r="M25" s="138"/>
      <c r="O25" s="627"/>
      <c r="P25" s="682"/>
    </row>
    <row r="26" spans="1:16" s="6" customFormat="1" ht="10.2">
      <c r="A26" s="91"/>
      <c r="B26" s="349"/>
      <c r="C26" s="501" t="s">
        <v>147</v>
      </c>
      <c r="D26" s="502" t="s">
        <v>77</v>
      </c>
      <c r="E26" s="413">
        <v>0.035</v>
      </c>
      <c r="F26" s="301">
        <f>E26*F23</f>
        <v>100.25890000000001</v>
      </c>
      <c r="G26" s="315">
        <f>O26/$K$4</f>
        <v>0</v>
      </c>
      <c r="H26" s="313">
        <f>F26*G26</f>
        <v>0</v>
      </c>
      <c r="I26" s="315"/>
      <c r="J26" s="301"/>
      <c r="K26" s="131">
        <f>H26+J26</f>
        <v>0</v>
      </c>
      <c r="L26" s="139"/>
      <c r="M26" s="139"/>
      <c r="O26" s="176"/>
      <c r="P26" s="269"/>
    </row>
    <row r="27" spans="1:16" s="6" customFormat="1" ht="10.8" thickBot="1">
      <c r="A27" s="447"/>
      <c r="B27" s="683"/>
      <c r="C27" s="684" t="s">
        <v>179</v>
      </c>
      <c r="D27" s="689" t="s">
        <v>73</v>
      </c>
      <c r="E27" s="690">
        <f>E16</f>
        <v>1</v>
      </c>
      <c r="F27" s="677">
        <f>$F$23*E27</f>
        <v>2864.54</v>
      </c>
      <c r="G27" s="691">
        <f>O27/K4</f>
        <v>0</v>
      </c>
      <c r="H27" s="517">
        <f t="shared" si="10"/>
        <v>0</v>
      </c>
      <c r="I27" s="443"/>
      <c r="J27" s="638"/>
      <c r="K27" s="258">
        <f t="shared" si="11"/>
        <v>0</v>
      </c>
      <c r="L27" s="138"/>
      <c r="M27" s="138"/>
      <c r="O27" s="267"/>
      <c r="P27" s="682"/>
    </row>
    <row r="28" spans="1:16" s="451" customFormat="1" ht="10.2">
      <c r="A28" s="445">
        <v>4</v>
      </c>
      <c r="B28" s="324"/>
      <c r="C28" s="344" t="s">
        <v>296</v>
      </c>
      <c r="D28" s="306" t="s">
        <v>81</v>
      </c>
      <c r="E28" s="303"/>
      <c r="F28" s="300">
        <f>F23</f>
        <v>2864.54</v>
      </c>
      <c r="G28" s="340"/>
      <c r="H28" s="338"/>
      <c r="I28" s="343">
        <f>P28/$K$4</f>
        <v>0</v>
      </c>
      <c r="J28" s="338">
        <f>F28*I28</f>
        <v>0</v>
      </c>
      <c r="K28" s="130">
        <f>H28+J28</f>
        <v>0</v>
      </c>
      <c r="L28" s="509">
        <f>SUM(K28:K31)</f>
        <v>0</v>
      </c>
      <c r="M28" s="509">
        <f>L28/F28</f>
        <v>0</v>
      </c>
      <c r="O28" s="170"/>
      <c r="P28" s="272"/>
    </row>
    <row r="29" spans="1:16" s="6" customFormat="1" ht="10.2">
      <c r="A29" s="91"/>
      <c r="B29" s="94"/>
      <c r="C29" s="310" t="s">
        <v>144</v>
      </c>
      <c r="D29" s="307" t="s">
        <v>145</v>
      </c>
      <c r="E29" s="305">
        <f>18/100</f>
        <v>0.18</v>
      </c>
      <c r="F29" s="301">
        <f>E29*F28</f>
        <v>515.6172</v>
      </c>
      <c r="G29" s="315">
        <f>O29/$K$4</f>
        <v>0</v>
      </c>
      <c r="H29" s="313">
        <f>F29*G29</f>
        <v>0</v>
      </c>
      <c r="I29" s="214"/>
      <c r="J29" s="313"/>
      <c r="K29" s="131">
        <f aca="true" t="shared" si="12" ref="K29:K31">H29+J29</f>
        <v>0</v>
      </c>
      <c r="L29" s="139"/>
      <c r="M29" s="139"/>
      <c r="O29" s="176"/>
      <c r="P29" s="269"/>
    </row>
    <row r="30" spans="1:16" s="6" customFormat="1" ht="10.2">
      <c r="A30" s="91"/>
      <c r="B30" s="94"/>
      <c r="C30" s="310" t="s">
        <v>146</v>
      </c>
      <c r="D30" s="307" t="s">
        <v>142</v>
      </c>
      <c r="E30" s="305">
        <v>0.5</v>
      </c>
      <c r="F30" s="301">
        <f>E30*F28</f>
        <v>1432.27</v>
      </c>
      <c r="G30" s="315">
        <f>O30/$K$4</f>
        <v>0</v>
      </c>
      <c r="H30" s="313">
        <f>F30*G30</f>
        <v>0</v>
      </c>
      <c r="I30" s="214"/>
      <c r="J30" s="313"/>
      <c r="K30" s="131">
        <f t="shared" si="12"/>
        <v>0</v>
      </c>
      <c r="L30" s="139"/>
      <c r="M30" s="139"/>
      <c r="O30" s="176"/>
      <c r="P30" s="269"/>
    </row>
    <row r="31" spans="1:16" s="6" customFormat="1" ht="10.8" thickBot="1">
      <c r="A31" s="91"/>
      <c r="B31" s="94"/>
      <c r="C31" s="310" t="s">
        <v>33</v>
      </c>
      <c r="D31" s="307"/>
      <c r="E31" s="305">
        <v>1</v>
      </c>
      <c r="F31" s="301">
        <f>E31*F28</f>
        <v>2864.54</v>
      </c>
      <c r="G31" s="315">
        <f>O31/$K$4</f>
        <v>0</v>
      </c>
      <c r="H31" s="313">
        <f>F31*G31</f>
        <v>0</v>
      </c>
      <c r="I31" s="214"/>
      <c r="J31" s="313"/>
      <c r="K31" s="131">
        <f t="shared" si="12"/>
        <v>0</v>
      </c>
      <c r="L31" s="139"/>
      <c r="M31" s="139"/>
      <c r="O31" s="176"/>
      <c r="P31" s="269"/>
    </row>
    <row r="32" spans="1:16" s="451" customFormat="1" ht="16.2" customHeight="1" hidden="1">
      <c r="A32" s="445">
        <v>5</v>
      </c>
      <c r="B32" s="389"/>
      <c r="C32" s="352"/>
      <c r="D32" s="327"/>
      <c r="E32" s="672"/>
      <c r="F32" s="400"/>
      <c r="G32" s="687"/>
      <c r="H32" s="339"/>
      <c r="I32" s="327">
        <f>P32/$K$4</f>
        <v>0</v>
      </c>
      <c r="J32" s="325">
        <f>F32*I32</f>
        <v>0</v>
      </c>
      <c r="K32" s="253">
        <f>H32+J32</f>
        <v>0</v>
      </c>
      <c r="L32" s="137" t="s">
        <v>302</v>
      </c>
      <c r="M32" s="137" t="e">
        <f>L32/F32</f>
        <v>#VALUE!</v>
      </c>
      <c r="O32" s="363"/>
      <c r="P32" s="674"/>
    </row>
    <row r="33" spans="1:16" s="451" customFormat="1" ht="10.2" hidden="1">
      <c r="A33" s="455"/>
      <c r="B33" s="390"/>
      <c r="C33" s="218"/>
      <c r="D33" s="328"/>
      <c r="E33" s="681"/>
      <c r="F33" s="677"/>
      <c r="G33" s="688">
        <f>O33/K4</f>
        <v>0</v>
      </c>
      <c r="H33" s="517">
        <f>G33*F33</f>
        <v>0</v>
      </c>
      <c r="I33" s="328"/>
      <c r="J33" s="382"/>
      <c r="K33" s="258">
        <f>H33+J33</f>
        <v>0</v>
      </c>
      <c r="L33" s="138"/>
      <c r="M33" s="138"/>
      <c r="O33" s="627"/>
      <c r="P33" s="682"/>
    </row>
    <row r="34" spans="1:16" s="451" customFormat="1" ht="10.2" hidden="1">
      <c r="A34" s="455"/>
      <c r="B34" s="390"/>
      <c r="C34" s="218"/>
      <c r="D34" s="328"/>
      <c r="E34" s="681"/>
      <c r="F34" s="677"/>
      <c r="G34" s="688">
        <f>O34/K4</f>
        <v>0</v>
      </c>
      <c r="H34" s="517">
        <f aca="true" t="shared" si="13" ref="H34:H39">G34*F34</f>
        <v>0</v>
      </c>
      <c r="I34" s="328"/>
      <c r="J34" s="382"/>
      <c r="K34" s="258">
        <f aca="true" t="shared" si="14" ref="K34:K43">H34+J34</f>
        <v>0</v>
      </c>
      <c r="L34" s="138"/>
      <c r="M34" s="138"/>
      <c r="O34" s="627"/>
      <c r="P34" s="682"/>
    </row>
    <row r="35" spans="1:16" s="451" customFormat="1" ht="10.2" hidden="1">
      <c r="A35" s="455"/>
      <c r="B35" s="390"/>
      <c r="C35" s="218"/>
      <c r="D35" s="260"/>
      <c r="E35" s="681"/>
      <c r="F35" s="677"/>
      <c r="G35" s="688">
        <f>O35/K4</f>
        <v>0</v>
      </c>
      <c r="H35" s="517">
        <f t="shared" si="13"/>
        <v>0</v>
      </c>
      <c r="I35" s="328"/>
      <c r="J35" s="382"/>
      <c r="K35" s="258">
        <f t="shared" si="14"/>
        <v>0</v>
      </c>
      <c r="L35" s="138"/>
      <c r="M35" s="138"/>
      <c r="O35" s="627"/>
      <c r="P35" s="682"/>
    </row>
    <row r="36" spans="1:16" s="451" customFormat="1" ht="10.2" hidden="1">
      <c r="A36" s="455"/>
      <c r="B36" s="390"/>
      <c r="C36" s="218"/>
      <c r="D36" s="328"/>
      <c r="E36" s="681"/>
      <c r="F36" s="677"/>
      <c r="G36" s="688">
        <f>O36/K4</f>
        <v>0</v>
      </c>
      <c r="H36" s="517">
        <f t="shared" si="13"/>
        <v>0</v>
      </c>
      <c r="I36" s="328"/>
      <c r="J36" s="382"/>
      <c r="K36" s="258">
        <f t="shared" si="14"/>
        <v>0</v>
      </c>
      <c r="L36" s="138"/>
      <c r="M36" s="138"/>
      <c r="O36" s="627"/>
      <c r="P36" s="682"/>
    </row>
    <row r="37" spans="1:16" s="451" customFormat="1" ht="10.2" hidden="1">
      <c r="A37" s="455"/>
      <c r="B37" s="390"/>
      <c r="C37" s="218"/>
      <c r="D37" s="260"/>
      <c r="E37" s="681"/>
      <c r="F37" s="677"/>
      <c r="G37" s="688">
        <f>O37/K4</f>
        <v>0</v>
      </c>
      <c r="H37" s="517">
        <f t="shared" si="13"/>
        <v>0</v>
      </c>
      <c r="I37" s="328"/>
      <c r="J37" s="382"/>
      <c r="K37" s="258">
        <f t="shared" si="14"/>
        <v>0</v>
      </c>
      <c r="L37" s="138"/>
      <c r="M37" s="138"/>
      <c r="O37" s="627"/>
      <c r="P37" s="682"/>
    </row>
    <row r="38" spans="1:16" s="451" customFormat="1" ht="10.2" hidden="1">
      <c r="A38" s="455"/>
      <c r="B38" s="390"/>
      <c r="C38" s="218"/>
      <c r="D38" s="260"/>
      <c r="E38" s="681"/>
      <c r="F38" s="677"/>
      <c r="G38" s="688">
        <f>O38/K4</f>
        <v>0</v>
      </c>
      <c r="H38" s="517">
        <f t="shared" si="13"/>
        <v>0</v>
      </c>
      <c r="I38" s="328"/>
      <c r="J38" s="382"/>
      <c r="K38" s="258">
        <f t="shared" si="14"/>
        <v>0</v>
      </c>
      <c r="L38" s="138"/>
      <c r="M38" s="138"/>
      <c r="O38" s="627"/>
      <c r="P38" s="682"/>
    </row>
    <row r="39" spans="1:16" s="451" customFormat="1" ht="10.8" hidden="1" thickBot="1">
      <c r="A39" s="455"/>
      <c r="B39" s="390"/>
      <c r="C39" s="218"/>
      <c r="D39" s="260"/>
      <c r="E39" s="681"/>
      <c r="F39" s="677"/>
      <c r="G39" s="688">
        <f>O39/K4</f>
        <v>0</v>
      </c>
      <c r="H39" s="517">
        <f t="shared" si="13"/>
        <v>0</v>
      </c>
      <c r="I39" s="328"/>
      <c r="J39" s="382"/>
      <c r="K39" s="258">
        <f t="shared" si="14"/>
        <v>0</v>
      </c>
      <c r="L39" s="138"/>
      <c r="M39" s="138"/>
      <c r="O39" s="627"/>
      <c r="P39" s="682"/>
    </row>
    <row r="40" spans="1:16" s="451" customFormat="1" ht="15" customHeight="1">
      <c r="A40" s="445">
        <v>5</v>
      </c>
      <c r="B40" s="389"/>
      <c r="C40" s="352" t="s">
        <v>246</v>
      </c>
      <c r="D40" s="327" t="s">
        <v>73</v>
      </c>
      <c r="E40" s="396"/>
      <c r="F40" s="400">
        <v>1</v>
      </c>
      <c r="G40" s="687"/>
      <c r="H40" s="339"/>
      <c r="I40" s="327">
        <f>P40/$K$4</f>
        <v>0</v>
      </c>
      <c r="J40" s="325">
        <f>F40*I40</f>
        <v>0</v>
      </c>
      <c r="K40" s="253">
        <f t="shared" si="14"/>
        <v>0</v>
      </c>
      <c r="L40" s="137">
        <f>SUM(K40:K43)</f>
        <v>0</v>
      </c>
      <c r="M40" s="137">
        <f>L40/F40</f>
        <v>0</v>
      </c>
      <c r="N40" s="795"/>
      <c r="O40" s="240"/>
      <c r="P40" s="276"/>
    </row>
    <row r="41" spans="1:16" s="454" customFormat="1" ht="10.2">
      <c r="A41" s="449"/>
      <c r="B41" s="391"/>
      <c r="C41" s="394" t="s">
        <v>293</v>
      </c>
      <c r="D41" s="328" t="s">
        <v>73</v>
      </c>
      <c r="E41" s="397">
        <v>1</v>
      </c>
      <c r="F41" s="677">
        <f>F40*E41</f>
        <v>1</v>
      </c>
      <c r="G41" s="692">
        <f>O41/K4</f>
        <v>0</v>
      </c>
      <c r="H41" s="806">
        <f>G41*F41</f>
        <v>0</v>
      </c>
      <c r="I41" s="694">
        <f>P41/$K$4</f>
        <v>0</v>
      </c>
      <c r="J41" s="693">
        <f>I41*F41</f>
        <v>0</v>
      </c>
      <c r="K41" s="695">
        <f t="shared" si="14"/>
        <v>0</v>
      </c>
      <c r="L41" s="696"/>
      <c r="M41" s="696"/>
      <c r="N41" s="796"/>
      <c r="O41" s="273"/>
      <c r="P41" s="277"/>
    </row>
    <row r="42" spans="1:16" s="454" customFormat="1" ht="10.2">
      <c r="A42" s="449"/>
      <c r="B42" s="391"/>
      <c r="C42" s="394" t="s">
        <v>294</v>
      </c>
      <c r="D42" s="328" t="s">
        <v>73</v>
      </c>
      <c r="E42" s="397">
        <v>2</v>
      </c>
      <c r="F42" s="677">
        <f>F41*E42</f>
        <v>2</v>
      </c>
      <c r="G42" s="692">
        <f>O42/K4</f>
        <v>0</v>
      </c>
      <c r="H42" s="806">
        <f>G42*F42</f>
        <v>0</v>
      </c>
      <c r="I42" s="694">
        <f>P42/$K$4</f>
        <v>0</v>
      </c>
      <c r="J42" s="693">
        <f aca="true" t="shared" si="15" ref="J42:J43">I42*F42</f>
        <v>0</v>
      </c>
      <c r="K42" s="695">
        <f aca="true" t="shared" si="16" ref="K42">H42+J42</f>
        <v>0</v>
      </c>
      <c r="L42" s="696"/>
      <c r="M42" s="696"/>
      <c r="N42" s="796"/>
      <c r="O42" s="273"/>
      <c r="P42" s="277"/>
    </row>
    <row r="43" spans="1:16" s="454" customFormat="1" ht="10.8" thickBot="1">
      <c r="A43" s="188"/>
      <c r="B43" s="392"/>
      <c r="C43" s="395" t="s">
        <v>295</v>
      </c>
      <c r="D43" s="450" t="s">
        <v>73</v>
      </c>
      <c r="E43" s="797">
        <v>1</v>
      </c>
      <c r="F43" s="798">
        <f>E43*F40</f>
        <v>1</v>
      </c>
      <c r="G43" s="799">
        <f>O43/K4</f>
        <v>0</v>
      </c>
      <c r="H43" s="807">
        <f>G43*F43</f>
        <v>0</v>
      </c>
      <c r="I43" s="388">
        <f>P43/$K$4</f>
        <v>0</v>
      </c>
      <c r="J43" s="804">
        <f t="shared" si="15"/>
        <v>0</v>
      </c>
      <c r="K43" s="800">
        <f t="shared" si="14"/>
        <v>0</v>
      </c>
      <c r="L43" s="801"/>
      <c r="M43" s="801"/>
      <c r="N43" s="697"/>
      <c r="O43" s="802"/>
      <c r="P43" s="803"/>
    </row>
    <row r="44" spans="1:16" s="12" customFormat="1" ht="16.2" thickBot="1">
      <c r="A44" s="6"/>
      <c r="B44" s="61"/>
      <c r="C44" s="6"/>
      <c r="D44" s="6"/>
      <c r="E44" s="6"/>
      <c r="F44" s="444"/>
      <c r="G44" s="30"/>
      <c r="H44" s="805">
        <f>SUM(H11:H43)</f>
        <v>0</v>
      </c>
      <c r="I44" s="635"/>
      <c r="J44" s="805">
        <f>SUM(J11:J43)</f>
        <v>0</v>
      </c>
      <c r="K44" s="166"/>
      <c r="L44" s="134"/>
      <c r="M44" s="134"/>
      <c r="O44" s="698"/>
      <c r="P44" s="698"/>
    </row>
    <row r="45" spans="1:16" s="12" customFormat="1" ht="16.2" thickBot="1">
      <c r="A45" s="6"/>
      <c r="B45" s="61"/>
      <c r="C45" s="6"/>
      <c r="D45" s="6"/>
      <c r="E45" s="6"/>
      <c r="F45" s="444"/>
      <c r="G45" s="19"/>
      <c r="H45" s="82" t="s">
        <v>181</v>
      </c>
      <c r="I45" s="83">
        <v>0.02</v>
      </c>
      <c r="J45" s="20"/>
      <c r="K45" s="546">
        <f>I45*H44</f>
        <v>0</v>
      </c>
      <c r="L45" s="134"/>
      <c r="M45" s="134"/>
      <c r="O45" s="698"/>
      <c r="P45" s="698"/>
    </row>
    <row r="46" spans="1:16" s="12" customFormat="1" ht="28.95" customHeight="1" thickBot="1">
      <c r="A46" s="61"/>
      <c r="B46" s="61"/>
      <c r="C46" s="6"/>
      <c r="D46" s="6"/>
      <c r="E46" s="6"/>
      <c r="F46" s="444"/>
      <c r="G46" s="30"/>
      <c r="H46" s="31"/>
      <c r="I46" s="32"/>
      <c r="J46" s="31"/>
      <c r="K46" s="547"/>
      <c r="L46" s="134"/>
      <c r="M46" s="134"/>
      <c r="O46" s="698"/>
      <c r="P46" s="698"/>
    </row>
    <row r="47" spans="1:16" s="12" customFormat="1" ht="16.2" thickBot="1">
      <c r="A47" s="61"/>
      <c r="B47" s="61"/>
      <c r="C47" s="1"/>
      <c r="D47" s="629"/>
      <c r="E47" s="1"/>
      <c r="F47" s="451"/>
      <c r="G47" s="19"/>
      <c r="H47" s="20" t="s">
        <v>182</v>
      </c>
      <c r="I47" s="21"/>
      <c r="J47" s="20"/>
      <c r="K47" s="546">
        <f>SUM(K11:K46)</f>
        <v>0</v>
      </c>
      <c r="L47" s="134"/>
      <c r="M47" s="134"/>
      <c r="O47" s="698"/>
      <c r="P47" s="698"/>
    </row>
    <row r="48" spans="1:16" s="12" customFormat="1" ht="16.2" thickBot="1">
      <c r="A48" s="61"/>
      <c r="B48" s="61"/>
      <c r="C48" s="1"/>
      <c r="D48" s="629"/>
      <c r="E48" s="1"/>
      <c r="F48" s="451"/>
      <c r="G48" s="33"/>
      <c r="H48" s="34"/>
      <c r="I48" s="35"/>
      <c r="J48" s="34"/>
      <c r="K48" s="548"/>
      <c r="L48" s="134"/>
      <c r="M48" s="134"/>
      <c r="O48" s="698"/>
      <c r="P48" s="698"/>
    </row>
    <row r="49" spans="1:16" s="12" customFormat="1" ht="15.75">
      <c r="A49" s="70"/>
      <c r="B49" s="62"/>
      <c r="C49" s="8"/>
      <c r="F49" s="13"/>
      <c r="G49" s="22"/>
      <c r="H49" s="44" t="s">
        <v>174</v>
      </c>
      <c r="I49" s="24">
        <v>0.08</v>
      </c>
      <c r="J49" s="25"/>
      <c r="K49" s="549">
        <f>K47*I49</f>
        <v>0</v>
      </c>
      <c r="L49" s="134"/>
      <c r="M49" s="134"/>
      <c r="O49" s="698"/>
      <c r="P49" s="698"/>
    </row>
    <row r="50" spans="1:16" s="12" customFormat="1" ht="16.2" thickBot="1">
      <c r="A50" s="70"/>
      <c r="B50" s="62"/>
      <c r="C50" s="8"/>
      <c r="F50" s="13"/>
      <c r="G50" s="16"/>
      <c r="H50" s="42" t="s">
        <v>56</v>
      </c>
      <c r="I50" s="26"/>
      <c r="J50" s="43"/>
      <c r="K50" s="550">
        <f>K47+K49</f>
        <v>0</v>
      </c>
      <c r="L50" s="134"/>
      <c r="M50" s="134"/>
      <c r="O50" s="698"/>
      <c r="P50" s="698"/>
    </row>
    <row r="51" spans="1:16" s="12" customFormat="1" ht="16.2" thickBot="1">
      <c r="A51" s="70"/>
      <c r="B51" s="62"/>
      <c r="C51" s="8"/>
      <c r="F51" s="13"/>
      <c r="G51" s="36"/>
      <c r="H51" s="37"/>
      <c r="I51" s="38"/>
      <c r="J51" s="39"/>
      <c r="K51" s="551"/>
      <c r="L51" s="134"/>
      <c r="M51" s="134"/>
      <c r="O51" s="698"/>
      <c r="P51" s="698"/>
    </row>
    <row r="52" spans="1:16" s="12" customFormat="1" ht="15.75">
      <c r="A52" s="70"/>
      <c r="B52" s="62"/>
      <c r="C52" s="8"/>
      <c r="F52" s="13"/>
      <c r="G52" s="27"/>
      <c r="H52" s="44" t="s">
        <v>175</v>
      </c>
      <c r="I52" s="24">
        <v>0.08</v>
      </c>
      <c r="J52" s="25"/>
      <c r="K52" s="549">
        <f>K50*I52</f>
        <v>0</v>
      </c>
      <c r="L52" s="134"/>
      <c r="M52" s="134"/>
      <c r="O52" s="698"/>
      <c r="P52" s="698"/>
    </row>
    <row r="53" spans="1:16" s="12" customFormat="1" ht="16.2" thickBot="1">
      <c r="A53" s="70"/>
      <c r="B53" s="62"/>
      <c r="C53" s="8"/>
      <c r="F53" s="13"/>
      <c r="G53" s="16"/>
      <c r="H53" s="42" t="s">
        <v>56</v>
      </c>
      <c r="I53" s="28"/>
      <c r="J53" s="43"/>
      <c r="K53" s="550">
        <f>K50+K52</f>
        <v>0</v>
      </c>
      <c r="L53" s="134"/>
      <c r="M53" s="134"/>
      <c r="O53" s="698"/>
      <c r="P53" s="698"/>
    </row>
    <row r="54" spans="1:16" s="12" customFormat="1" ht="16.2" thickBot="1">
      <c r="A54" s="70"/>
      <c r="B54" s="62"/>
      <c r="C54" s="8"/>
      <c r="F54" s="13"/>
      <c r="G54" s="36"/>
      <c r="H54" s="37"/>
      <c r="I54" s="40"/>
      <c r="J54" s="39"/>
      <c r="K54" s="551"/>
      <c r="L54" s="134"/>
      <c r="M54" s="134"/>
      <c r="O54" s="698"/>
      <c r="P54" s="698"/>
    </row>
    <row r="55" spans="1:16" s="12" customFormat="1" ht="15.75">
      <c r="A55" s="70"/>
      <c r="B55" s="62"/>
      <c r="C55" s="8"/>
      <c r="F55" s="13"/>
      <c r="G55" s="27"/>
      <c r="H55" s="44" t="s">
        <v>176</v>
      </c>
      <c r="I55" s="24">
        <v>0</v>
      </c>
      <c r="J55" s="25"/>
      <c r="K55" s="549">
        <f>K53*I55</f>
        <v>0</v>
      </c>
      <c r="L55" s="134"/>
      <c r="M55" s="134"/>
      <c r="O55" s="698"/>
      <c r="P55" s="698"/>
    </row>
    <row r="56" spans="1:16" s="8" customFormat="1" ht="16.2" thickBot="1">
      <c r="A56" s="70"/>
      <c r="B56" s="62"/>
      <c r="D56" s="12"/>
      <c r="E56" s="12"/>
      <c r="F56" s="13"/>
      <c r="G56" s="16"/>
      <c r="H56" s="42" t="s">
        <v>56</v>
      </c>
      <c r="I56" s="29"/>
      <c r="J56" s="43"/>
      <c r="K56" s="550">
        <f>K53+K55</f>
        <v>0</v>
      </c>
      <c r="L56" s="127"/>
      <c r="M56" s="127"/>
      <c r="O56" s="698"/>
      <c r="P56" s="698"/>
    </row>
    <row r="57" spans="1:16" s="8" customFormat="1" ht="16.2" thickBot="1">
      <c r="A57" s="70"/>
      <c r="B57" s="62"/>
      <c r="D57" s="12"/>
      <c r="E57" s="12"/>
      <c r="F57" s="13"/>
      <c r="G57" s="36"/>
      <c r="H57" s="37"/>
      <c r="I57" s="41"/>
      <c r="J57" s="39"/>
      <c r="K57" s="551"/>
      <c r="L57" s="127"/>
      <c r="M57" s="127"/>
      <c r="O57" s="698"/>
      <c r="P57" s="698"/>
    </row>
    <row r="58" spans="1:16" s="6" customFormat="1" ht="15.75">
      <c r="A58" s="70"/>
      <c r="B58" s="62"/>
      <c r="C58" s="8"/>
      <c r="D58" s="12"/>
      <c r="E58" s="12"/>
      <c r="F58" s="13"/>
      <c r="G58" s="27"/>
      <c r="H58" s="23" t="s">
        <v>71</v>
      </c>
      <c r="I58" s="24">
        <v>0.18</v>
      </c>
      <c r="J58" s="25"/>
      <c r="K58" s="552">
        <f>K56*I58</f>
        <v>0</v>
      </c>
      <c r="L58" s="128"/>
      <c r="M58" s="128"/>
      <c r="O58" s="698"/>
      <c r="P58" s="698"/>
    </row>
    <row r="59" spans="1:16" s="6" customFormat="1" ht="16.2" thickBot="1">
      <c r="A59" s="70"/>
      <c r="B59" s="62"/>
      <c r="C59" s="8"/>
      <c r="D59" s="12"/>
      <c r="E59" s="12"/>
      <c r="F59" s="13"/>
      <c r="G59" s="16"/>
      <c r="H59" s="17" t="s">
        <v>56</v>
      </c>
      <c r="I59" s="157" t="s">
        <v>12</v>
      </c>
      <c r="J59" s="164"/>
      <c r="K59" s="553">
        <f>K56+K58</f>
        <v>0</v>
      </c>
      <c r="L59" s="128"/>
      <c r="M59" s="128"/>
      <c r="O59" s="698"/>
      <c r="P59" s="698"/>
    </row>
    <row r="60" spans="3:5" ht="17.4">
      <c r="C60" s="817"/>
      <c r="D60" s="817"/>
      <c r="E60" s="817"/>
    </row>
  </sheetData>
  <mergeCells count="14">
    <mergeCell ref="K7:K8"/>
    <mergeCell ref="L7:L8"/>
    <mergeCell ref="M7:M8"/>
    <mergeCell ref="C60:E60"/>
    <mergeCell ref="C1:E1"/>
    <mergeCell ref="A2:C2"/>
    <mergeCell ref="I2:K2"/>
    <mergeCell ref="A3:B3"/>
    <mergeCell ref="A7:A8"/>
    <mergeCell ref="B7:B8"/>
    <mergeCell ref="D7:D8"/>
    <mergeCell ref="E7:F7"/>
    <mergeCell ref="G7:H7"/>
    <mergeCell ref="I7:J7"/>
  </mergeCells>
  <printOptions/>
  <pageMargins left="0.7500000000000001" right="0.7500000000000001" top="1" bottom="1" header="0.5" footer="0.5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7"/>
  <sheetViews>
    <sheetView zoomScalePageLayoutView="115" workbookViewId="0" topLeftCell="C1">
      <selection activeCell="J18" sqref="I18:J19"/>
    </sheetView>
  </sheetViews>
  <sheetFormatPr defaultColWidth="11.00390625" defaultRowHeight="15.75"/>
  <cols>
    <col min="1" max="1" width="6.50390625" style="0" customWidth="1"/>
    <col min="2" max="2" width="7.625" style="0" customWidth="1"/>
    <col min="3" max="3" width="46.25390625" style="0" bestFit="1" customWidth="1"/>
    <col min="4" max="4" width="7.75390625" style="0" customWidth="1"/>
    <col min="10" max="10" width="13.875" style="0" customWidth="1"/>
    <col min="11" max="11" width="11.25390625" style="0" bestFit="1" customWidth="1"/>
    <col min="14" max="14" width="5.75390625" style="0" customWidth="1"/>
    <col min="15" max="16" width="11.00390625" style="246" customWidth="1"/>
  </cols>
  <sheetData>
    <row r="1" spans="1:16" s="6" customFormat="1" ht="18" thickBot="1">
      <c r="A1" s="69"/>
      <c r="B1" s="60"/>
      <c r="C1" s="817" t="str">
        <f>TOTAL!A2</f>
        <v>სითი მოლი საბურთალო</v>
      </c>
      <c r="D1" s="817"/>
      <c r="E1" s="817"/>
      <c r="F1" s="451"/>
      <c r="G1" s="1"/>
      <c r="H1" s="451"/>
      <c r="I1" s="189"/>
      <c r="J1" s="190"/>
      <c r="K1" s="189"/>
      <c r="L1" s="451"/>
      <c r="M1" s="451"/>
      <c r="O1" s="231"/>
      <c r="P1" s="231"/>
    </row>
    <row r="2" spans="1:16" s="6" customFormat="1" ht="18" thickBot="1">
      <c r="A2" s="860" t="s">
        <v>274</v>
      </c>
      <c r="B2" s="860"/>
      <c r="C2" s="861"/>
      <c r="D2" s="629"/>
      <c r="E2" s="1"/>
      <c r="F2" s="451"/>
      <c r="G2" s="1"/>
      <c r="H2" s="290"/>
      <c r="I2" s="862"/>
      <c r="J2" s="863"/>
      <c r="K2" s="864"/>
      <c r="L2" s="320"/>
      <c r="O2" s="231"/>
      <c r="P2" s="232"/>
    </row>
    <row r="3" spans="1:16" s="6" customFormat="1" ht="20.4">
      <c r="A3" s="841"/>
      <c r="B3" s="841"/>
      <c r="C3" s="45"/>
      <c r="E3" s="45"/>
      <c r="F3" s="45"/>
      <c r="G3" s="45"/>
      <c r="H3" s="291"/>
      <c r="I3" s="7" t="s">
        <v>62</v>
      </c>
      <c r="J3" s="7" t="s">
        <v>63</v>
      </c>
      <c r="K3" s="663" t="s">
        <v>64</v>
      </c>
      <c r="O3" s="231"/>
      <c r="P3" s="232"/>
    </row>
    <row r="4" spans="1:16" s="6" customFormat="1" ht="15.75" thickBot="1">
      <c r="A4" s="69"/>
      <c r="B4" s="60"/>
      <c r="C4" s="632"/>
      <c r="D4" s="47"/>
      <c r="E4" s="46"/>
      <c r="F4" s="46"/>
      <c r="G4" s="46"/>
      <c r="H4" s="292"/>
      <c r="I4" s="387">
        <f>K67</f>
        <v>0</v>
      </c>
      <c r="J4" s="386">
        <f>I4*K4</f>
        <v>0</v>
      </c>
      <c r="K4" s="638">
        <f>TOTAL!C24</f>
        <v>2.45</v>
      </c>
      <c r="O4" s="231"/>
      <c r="P4" s="232"/>
    </row>
    <row r="5" spans="1:16" s="6" customFormat="1" ht="15.75">
      <c r="A5" s="69"/>
      <c r="B5" s="60"/>
      <c r="C5" s="858"/>
      <c r="D5" s="859"/>
      <c r="E5" s="859"/>
      <c r="F5" s="859"/>
      <c r="G5" s="46"/>
      <c r="H5" s="46"/>
      <c r="I5" s="233"/>
      <c r="J5" s="68"/>
      <c r="K5" s="234"/>
      <c r="O5" s="231"/>
      <c r="P5" s="232"/>
    </row>
    <row r="6" spans="1:16" s="6" customFormat="1" ht="10.8" thickBot="1">
      <c r="A6" s="69"/>
      <c r="B6" s="60"/>
      <c r="C6" s="1"/>
      <c r="D6" s="629"/>
      <c r="E6" s="629"/>
      <c r="F6" s="3"/>
      <c r="G6" s="629"/>
      <c r="H6" s="3"/>
      <c r="I6" s="629"/>
      <c r="J6" s="451"/>
      <c r="K6" s="8"/>
      <c r="L6" s="9"/>
      <c r="M6" s="9"/>
      <c r="O6" s="235"/>
      <c r="P6" s="235"/>
    </row>
    <row r="7" spans="1:16" s="6" customFormat="1" ht="20.25" customHeight="1" thickBot="1">
      <c r="A7" s="842" t="s">
        <v>0</v>
      </c>
      <c r="B7" s="844"/>
      <c r="C7" s="865" t="s">
        <v>170</v>
      </c>
      <c r="D7" s="846" t="s">
        <v>53</v>
      </c>
      <c r="E7" s="838" t="s">
        <v>50</v>
      </c>
      <c r="F7" s="840"/>
      <c r="G7" s="838" t="s">
        <v>54</v>
      </c>
      <c r="H7" s="840"/>
      <c r="I7" s="838" t="s">
        <v>55</v>
      </c>
      <c r="J7" s="840"/>
      <c r="K7" s="830" t="s">
        <v>56</v>
      </c>
      <c r="L7" s="830" t="s">
        <v>57</v>
      </c>
      <c r="M7" s="830" t="s">
        <v>58</v>
      </c>
      <c r="O7" s="832" t="s">
        <v>148</v>
      </c>
      <c r="P7" s="834" t="s">
        <v>149</v>
      </c>
    </row>
    <row r="8" spans="1:16" s="6" customFormat="1" ht="10.8" thickBot="1">
      <c r="A8" s="843"/>
      <c r="B8" s="845"/>
      <c r="C8" s="866"/>
      <c r="D8" s="847"/>
      <c r="E8" s="281" t="s">
        <v>59</v>
      </c>
      <c r="F8" s="282" t="s">
        <v>56</v>
      </c>
      <c r="G8" s="281" t="s">
        <v>60</v>
      </c>
      <c r="H8" s="282" t="s">
        <v>56</v>
      </c>
      <c r="I8" s="281" t="s">
        <v>60</v>
      </c>
      <c r="J8" s="282" t="s">
        <v>56</v>
      </c>
      <c r="K8" s="831"/>
      <c r="L8" s="831"/>
      <c r="M8" s="831"/>
      <c r="O8" s="853"/>
      <c r="P8" s="854"/>
    </row>
    <row r="9" spans="1:16" s="6" customFormat="1" ht="10.8" thickBot="1">
      <c r="A9" s="322" t="s">
        <v>1</v>
      </c>
      <c r="B9" s="332">
        <v>2</v>
      </c>
      <c r="C9" s="280" t="s">
        <v>2</v>
      </c>
      <c r="D9" s="280" t="s">
        <v>3</v>
      </c>
      <c r="E9" s="287" t="s">
        <v>14</v>
      </c>
      <c r="F9" s="280" t="s">
        <v>4</v>
      </c>
      <c r="G9" s="287" t="s">
        <v>5</v>
      </c>
      <c r="H9" s="280" t="s">
        <v>6</v>
      </c>
      <c r="I9" s="287" t="s">
        <v>7</v>
      </c>
      <c r="J9" s="280" t="s">
        <v>8</v>
      </c>
      <c r="K9" s="279" t="s">
        <v>9</v>
      </c>
      <c r="L9" s="279" t="s">
        <v>27</v>
      </c>
      <c r="M9" s="279" t="s">
        <v>25</v>
      </c>
      <c r="O9" s="274" t="s">
        <v>18</v>
      </c>
      <c r="P9" s="364" t="s">
        <v>26</v>
      </c>
    </row>
    <row r="10" spans="1:16" s="6" customFormat="1" ht="10.8" thickBot="1">
      <c r="A10" s="375"/>
      <c r="B10" s="376"/>
      <c r="C10" s="288"/>
      <c r="D10" s="286"/>
      <c r="E10" s="288"/>
      <c r="F10" s="54"/>
      <c r="G10" s="288"/>
      <c r="H10" s="54"/>
      <c r="I10" s="288"/>
      <c r="J10" s="54"/>
      <c r="K10" s="54"/>
      <c r="L10" s="54"/>
      <c r="M10" s="54"/>
      <c r="O10" s="236"/>
      <c r="P10" s="237"/>
    </row>
    <row r="11" spans="1:16" s="451" customFormat="1" ht="16.2" customHeight="1">
      <c r="A11" s="445">
        <v>1</v>
      </c>
      <c r="B11" s="704" t="s">
        <v>212</v>
      </c>
      <c r="C11" s="664" t="s">
        <v>200</v>
      </c>
      <c r="D11" s="327" t="s">
        <v>73</v>
      </c>
      <c r="E11" s="327"/>
      <c r="F11" s="325">
        <v>70</v>
      </c>
      <c r="G11" s="327"/>
      <c r="H11" s="325"/>
      <c r="I11" s="384">
        <f>P11/$K$4</f>
        <v>0</v>
      </c>
      <c r="J11" s="325">
        <f>F11*I11</f>
        <v>0</v>
      </c>
      <c r="K11" s="665">
        <f aca="true" t="shared" si="0" ref="K11:K51">H11+J11</f>
        <v>0</v>
      </c>
      <c r="L11" s="666">
        <f>SUM(K11:K13)</f>
        <v>0</v>
      </c>
      <c r="M11" s="666">
        <f>L11/F11</f>
        <v>0</v>
      </c>
      <c r="O11" s="239"/>
      <c r="P11" s="240"/>
    </row>
    <row r="12" spans="1:16" s="451" customFormat="1" ht="10.2">
      <c r="A12" s="455"/>
      <c r="B12" s="348"/>
      <c r="C12" s="218" t="s">
        <v>171</v>
      </c>
      <c r="D12" s="260" t="s">
        <v>73</v>
      </c>
      <c r="E12" s="328">
        <v>1</v>
      </c>
      <c r="F12" s="261">
        <f>$F$11*E12</f>
        <v>70</v>
      </c>
      <c r="G12" s="383">
        <f>O12/$K$4</f>
        <v>0</v>
      </c>
      <c r="H12" s="382">
        <f>G12*F12</f>
        <v>0</v>
      </c>
      <c r="I12" s="328"/>
      <c r="J12" s="382"/>
      <c r="K12" s="667">
        <f t="shared" si="0"/>
        <v>0</v>
      </c>
      <c r="L12" s="446"/>
      <c r="M12" s="446"/>
      <c r="O12" s="241"/>
      <c r="P12" s="242"/>
    </row>
    <row r="13" spans="1:16" s="451" customFormat="1" ht="10.8" thickBot="1">
      <c r="A13" s="455"/>
      <c r="B13" s="348"/>
      <c r="C13" s="380" t="s">
        <v>33</v>
      </c>
      <c r="D13" s="260"/>
      <c r="E13" s="328">
        <v>1</v>
      </c>
      <c r="F13" s="261">
        <f>$F$11*E13</f>
        <v>70</v>
      </c>
      <c r="G13" s="383">
        <f>O13/$K$4</f>
        <v>0</v>
      </c>
      <c r="H13" s="382">
        <f>G13*F13</f>
        <v>0</v>
      </c>
      <c r="I13" s="328"/>
      <c r="J13" s="382"/>
      <c r="K13" s="667">
        <f t="shared" si="0"/>
        <v>0</v>
      </c>
      <c r="L13" s="446"/>
      <c r="M13" s="446"/>
      <c r="O13" s="241"/>
      <c r="P13" s="242"/>
    </row>
    <row r="14" spans="1:16" s="451" customFormat="1" ht="16.2" customHeight="1">
      <c r="A14" s="445">
        <v>2</v>
      </c>
      <c r="B14" s="704" t="s">
        <v>213</v>
      </c>
      <c r="C14" s="664" t="s">
        <v>201</v>
      </c>
      <c r="D14" s="327" t="s">
        <v>73</v>
      </c>
      <c r="E14" s="327"/>
      <c r="F14" s="325">
        <v>34</v>
      </c>
      <c r="G14" s="327"/>
      <c r="H14" s="325"/>
      <c r="I14" s="384">
        <f>P14/$K$4</f>
        <v>0</v>
      </c>
      <c r="J14" s="325">
        <f>F14*I14</f>
        <v>0</v>
      </c>
      <c r="K14" s="665">
        <f aca="true" t="shared" si="1" ref="K14:K16">H14+J14</f>
        <v>0</v>
      </c>
      <c r="L14" s="666">
        <f>SUM(K14:K16)</f>
        <v>0</v>
      </c>
      <c r="M14" s="666">
        <f>L14/F14</f>
        <v>0</v>
      </c>
      <c r="O14" s="239"/>
      <c r="P14" s="240"/>
    </row>
    <row r="15" spans="1:16" s="451" customFormat="1" ht="10.2">
      <c r="A15" s="455"/>
      <c r="B15" s="347"/>
      <c r="C15" s="218" t="s">
        <v>171</v>
      </c>
      <c r="D15" s="260" t="s">
        <v>73</v>
      </c>
      <c r="E15" s="328">
        <v>1</v>
      </c>
      <c r="F15" s="261">
        <f>E15*F14</f>
        <v>34</v>
      </c>
      <c r="G15" s="383">
        <f>O15/$K$4</f>
        <v>0</v>
      </c>
      <c r="H15" s="382">
        <f>G15*F15</f>
        <v>0</v>
      </c>
      <c r="I15" s="328"/>
      <c r="J15" s="382"/>
      <c r="K15" s="667">
        <f t="shared" si="1"/>
        <v>0</v>
      </c>
      <c r="L15" s="446"/>
      <c r="M15" s="446"/>
      <c r="O15" s="241"/>
      <c r="P15" s="242"/>
    </row>
    <row r="16" spans="1:16" s="451" customFormat="1" ht="10.8" thickBot="1">
      <c r="A16" s="455"/>
      <c r="B16" s="347"/>
      <c r="C16" s="380" t="s">
        <v>33</v>
      </c>
      <c r="D16" s="260"/>
      <c r="E16" s="328">
        <v>1</v>
      </c>
      <c r="F16" s="261">
        <f>E16*F14</f>
        <v>34</v>
      </c>
      <c r="G16" s="383">
        <f>O16/$K$4</f>
        <v>0</v>
      </c>
      <c r="H16" s="382">
        <f>G16*F16</f>
        <v>0</v>
      </c>
      <c r="I16" s="328"/>
      <c r="J16" s="382"/>
      <c r="K16" s="667">
        <f t="shared" si="1"/>
        <v>0</v>
      </c>
      <c r="L16" s="446"/>
      <c r="M16" s="446"/>
      <c r="O16" s="241"/>
      <c r="P16" s="242"/>
    </row>
    <row r="17" spans="1:16" s="451" customFormat="1" ht="16.2" customHeight="1">
      <c r="A17" s="445">
        <v>3</v>
      </c>
      <c r="B17" s="704" t="s">
        <v>211</v>
      </c>
      <c r="C17" s="664" t="s">
        <v>202</v>
      </c>
      <c r="D17" s="327" t="s">
        <v>73</v>
      </c>
      <c r="E17" s="327"/>
      <c r="F17" s="325">
        <v>68</v>
      </c>
      <c r="G17" s="327"/>
      <c r="H17" s="325"/>
      <c r="I17" s="384">
        <f>P17/$K$4</f>
        <v>0</v>
      </c>
      <c r="J17" s="325">
        <f>F17*I17</f>
        <v>0</v>
      </c>
      <c r="K17" s="665">
        <f aca="true" t="shared" si="2" ref="K17:K19">H17+J17</f>
        <v>0</v>
      </c>
      <c r="L17" s="666">
        <f>SUM(K17:K19)</f>
        <v>0</v>
      </c>
      <c r="M17" s="666">
        <f>L17/F17</f>
        <v>0</v>
      </c>
      <c r="O17" s="239"/>
      <c r="P17" s="240"/>
    </row>
    <row r="18" spans="1:16" s="451" customFormat="1" ht="10.2">
      <c r="A18" s="455"/>
      <c r="B18" s="348"/>
      <c r="C18" s="218" t="s">
        <v>171</v>
      </c>
      <c r="D18" s="260" t="s">
        <v>73</v>
      </c>
      <c r="E18" s="328">
        <v>1</v>
      </c>
      <c r="F18" s="261">
        <f>E18*F17</f>
        <v>68</v>
      </c>
      <c r="G18" s="383">
        <f>O18/$K$4</f>
        <v>0</v>
      </c>
      <c r="H18" s="382">
        <f>G18*F18</f>
        <v>0</v>
      </c>
      <c r="I18" s="328"/>
      <c r="J18" s="382"/>
      <c r="K18" s="667">
        <f t="shared" si="2"/>
        <v>0</v>
      </c>
      <c r="L18" s="446"/>
      <c r="M18" s="446"/>
      <c r="O18" s="241"/>
      <c r="P18" s="242"/>
    </row>
    <row r="19" spans="1:16" s="451" customFormat="1" ht="10.8" thickBot="1">
      <c r="A19" s="455"/>
      <c r="B19" s="348"/>
      <c r="C19" s="380" t="s">
        <v>33</v>
      </c>
      <c r="D19" s="260"/>
      <c r="E19" s="328">
        <v>1</v>
      </c>
      <c r="F19" s="261">
        <f>E19*F17</f>
        <v>68</v>
      </c>
      <c r="G19" s="383">
        <f>O19/$K$4</f>
        <v>0</v>
      </c>
      <c r="H19" s="382">
        <f>G19*F19</f>
        <v>0</v>
      </c>
      <c r="I19" s="328"/>
      <c r="J19" s="382"/>
      <c r="K19" s="667">
        <f t="shared" si="2"/>
        <v>0</v>
      </c>
      <c r="L19" s="446"/>
      <c r="M19" s="446"/>
      <c r="O19" s="241"/>
      <c r="P19" s="242"/>
    </row>
    <row r="20" spans="1:16" s="451" customFormat="1" ht="16.2" customHeight="1">
      <c r="A20" s="445">
        <v>4</v>
      </c>
      <c r="B20" s="704" t="s">
        <v>214</v>
      </c>
      <c r="C20" s="664" t="s">
        <v>203</v>
      </c>
      <c r="D20" s="327" t="s">
        <v>73</v>
      </c>
      <c r="E20" s="327"/>
      <c r="F20" s="325">
        <v>11</v>
      </c>
      <c r="G20" s="327"/>
      <c r="H20" s="325"/>
      <c r="I20" s="384">
        <f>P20/$K$4</f>
        <v>0</v>
      </c>
      <c r="J20" s="325">
        <f>F20*I20</f>
        <v>0</v>
      </c>
      <c r="K20" s="665">
        <f aca="true" t="shared" si="3" ref="K20:K22">H20+J20</f>
        <v>0</v>
      </c>
      <c r="L20" s="666">
        <f>SUM(K20:K22)</f>
        <v>0</v>
      </c>
      <c r="M20" s="666">
        <f>L20/F20</f>
        <v>0</v>
      </c>
      <c r="O20" s="239"/>
      <c r="P20" s="240"/>
    </row>
    <row r="21" spans="1:16" s="451" customFormat="1" ht="10.2">
      <c r="A21" s="455"/>
      <c r="B21" s="348"/>
      <c r="C21" s="218" t="s">
        <v>171</v>
      </c>
      <c r="D21" s="260" t="s">
        <v>73</v>
      </c>
      <c r="E21" s="328">
        <v>1</v>
      </c>
      <c r="F21" s="261">
        <f>E21*F20</f>
        <v>11</v>
      </c>
      <c r="G21" s="383">
        <f>O21/$K$4</f>
        <v>0</v>
      </c>
      <c r="H21" s="382">
        <f>G21*F21</f>
        <v>0</v>
      </c>
      <c r="I21" s="328"/>
      <c r="J21" s="382"/>
      <c r="K21" s="667">
        <f t="shared" si="3"/>
        <v>0</v>
      </c>
      <c r="L21" s="446"/>
      <c r="M21" s="446"/>
      <c r="O21" s="241"/>
      <c r="P21" s="242"/>
    </row>
    <row r="22" spans="1:16" s="451" customFormat="1" ht="10.8" thickBot="1">
      <c r="A22" s="455"/>
      <c r="B22" s="348"/>
      <c r="C22" s="380" t="s">
        <v>33</v>
      </c>
      <c r="D22" s="260"/>
      <c r="E22" s="328">
        <v>1</v>
      </c>
      <c r="F22" s="261">
        <f>E22*F20</f>
        <v>11</v>
      </c>
      <c r="G22" s="383">
        <f>O22/$K$4</f>
        <v>0</v>
      </c>
      <c r="H22" s="382">
        <f>G22*F22</f>
        <v>0</v>
      </c>
      <c r="I22" s="328"/>
      <c r="J22" s="382"/>
      <c r="K22" s="667">
        <f t="shared" si="3"/>
        <v>0</v>
      </c>
      <c r="L22" s="446"/>
      <c r="M22" s="446"/>
      <c r="O22" s="241"/>
      <c r="P22" s="242"/>
    </row>
    <row r="23" spans="1:16" s="451" customFormat="1" ht="16.2" customHeight="1">
      <c r="A23" s="445">
        <v>5</v>
      </c>
      <c r="B23" s="704" t="s">
        <v>210</v>
      </c>
      <c r="C23" s="664" t="s">
        <v>204</v>
      </c>
      <c r="D23" s="327" t="s">
        <v>73</v>
      </c>
      <c r="E23" s="327"/>
      <c r="F23" s="325">
        <v>75</v>
      </c>
      <c r="G23" s="327"/>
      <c r="H23" s="325"/>
      <c r="I23" s="384">
        <f>P23/$K$4</f>
        <v>0</v>
      </c>
      <c r="J23" s="325">
        <f>F23*I23</f>
        <v>0</v>
      </c>
      <c r="K23" s="665">
        <f aca="true" t="shared" si="4" ref="K23:K25">H23+J23</f>
        <v>0</v>
      </c>
      <c r="L23" s="666">
        <f>SUM(K23:K25)</f>
        <v>0</v>
      </c>
      <c r="M23" s="666">
        <f>L23/F23</f>
        <v>0</v>
      </c>
      <c r="O23" s="239"/>
      <c r="P23" s="240"/>
    </row>
    <row r="24" spans="1:16" s="451" customFormat="1" ht="10.2">
      <c r="A24" s="455"/>
      <c r="B24" s="348"/>
      <c r="C24" s="218" t="s">
        <v>171</v>
      </c>
      <c r="D24" s="260" t="s">
        <v>73</v>
      </c>
      <c r="E24" s="328">
        <v>1</v>
      </c>
      <c r="F24" s="261">
        <f>E24*F23</f>
        <v>75</v>
      </c>
      <c r="G24" s="383">
        <f>O24/$K$4</f>
        <v>0</v>
      </c>
      <c r="H24" s="382">
        <f>G24*F24</f>
        <v>0</v>
      </c>
      <c r="I24" s="328"/>
      <c r="J24" s="382"/>
      <c r="K24" s="667">
        <f t="shared" si="4"/>
        <v>0</v>
      </c>
      <c r="L24" s="446"/>
      <c r="M24" s="446"/>
      <c r="O24" s="241"/>
      <c r="P24" s="242"/>
    </row>
    <row r="25" spans="1:16" s="451" customFormat="1" ht="10.8" thickBot="1">
      <c r="A25" s="455"/>
      <c r="B25" s="348"/>
      <c r="C25" s="380" t="s">
        <v>33</v>
      </c>
      <c r="D25" s="260"/>
      <c r="E25" s="328">
        <v>1</v>
      </c>
      <c r="F25" s="261">
        <f>E25*F23</f>
        <v>75</v>
      </c>
      <c r="G25" s="383">
        <f>O25/$K$4</f>
        <v>0</v>
      </c>
      <c r="H25" s="382">
        <f>G25*F25</f>
        <v>0</v>
      </c>
      <c r="I25" s="328"/>
      <c r="J25" s="382"/>
      <c r="K25" s="667">
        <f t="shared" si="4"/>
        <v>0</v>
      </c>
      <c r="L25" s="446"/>
      <c r="M25" s="446"/>
      <c r="O25" s="241"/>
      <c r="P25" s="242"/>
    </row>
    <row r="26" spans="1:16" s="451" customFormat="1" ht="16.2" customHeight="1">
      <c r="A26" s="445">
        <v>6</v>
      </c>
      <c r="B26" s="704" t="s">
        <v>215</v>
      </c>
      <c r="C26" s="664" t="s">
        <v>207</v>
      </c>
      <c r="D26" s="327" t="s">
        <v>73</v>
      </c>
      <c r="E26" s="327"/>
      <c r="F26" s="325">
        <v>44</v>
      </c>
      <c r="G26" s="327"/>
      <c r="H26" s="325"/>
      <c r="I26" s="384">
        <f>P26/$K$4</f>
        <v>0</v>
      </c>
      <c r="J26" s="325">
        <f>F26*I26</f>
        <v>0</v>
      </c>
      <c r="K26" s="665">
        <f t="shared" si="0"/>
        <v>0</v>
      </c>
      <c r="L26" s="666">
        <f>SUM(K26:K29)</f>
        <v>0</v>
      </c>
      <c r="M26" s="666">
        <f>L26/F26</f>
        <v>0</v>
      </c>
      <c r="O26" s="239"/>
      <c r="P26" s="240"/>
    </row>
    <row r="27" spans="1:16" s="451" customFormat="1" ht="10.2">
      <c r="A27" s="455"/>
      <c r="B27" s="348"/>
      <c r="C27" s="218" t="s">
        <v>205</v>
      </c>
      <c r="D27" s="260" t="s">
        <v>73</v>
      </c>
      <c r="E27" s="328">
        <v>1</v>
      </c>
      <c r="F27" s="261">
        <f>E27*F26</f>
        <v>44</v>
      </c>
      <c r="G27" s="383">
        <f>O27/$K$4</f>
        <v>0</v>
      </c>
      <c r="H27" s="382">
        <f>G27*F27</f>
        <v>0</v>
      </c>
      <c r="I27" s="328"/>
      <c r="J27" s="382"/>
      <c r="K27" s="667">
        <f t="shared" si="0"/>
        <v>0</v>
      </c>
      <c r="L27" s="446"/>
      <c r="M27" s="446"/>
      <c r="O27" s="241"/>
      <c r="P27" s="242"/>
    </row>
    <row r="28" spans="1:16" s="451" customFormat="1" ht="10.2">
      <c r="A28" s="455"/>
      <c r="B28" s="348"/>
      <c r="C28" s="218" t="s">
        <v>206</v>
      </c>
      <c r="D28" s="260" t="s">
        <v>73</v>
      </c>
      <c r="E28" s="328">
        <v>1</v>
      </c>
      <c r="F28" s="261">
        <f>E28*F26</f>
        <v>44</v>
      </c>
      <c r="G28" s="383">
        <f>O28/$K$4</f>
        <v>0</v>
      </c>
      <c r="H28" s="382">
        <f>G28*F28</f>
        <v>0</v>
      </c>
      <c r="I28" s="328"/>
      <c r="J28" s="382"/>
      <c r="K28" s="667">
        <f aca="true" t="shared" si="5" ref="K28">H28+J28</f>
        <v>0</v>
      </c>
      <c r="L28" s="446"/>
      <c r="M28" s="446"/>
      <c r="O28" s="241"/>
      <c r="P28" s="242"/>
    </row>
    <row r="29" spans="1:16" s="451" customFormat="1" ht="10.8" thickBot="1">
      <c r="A29" s="455"/>
      <c r="B29" s="348"/>
      <c r="C29" s="380" t="s">
        <v>33</v>
      </c>
      <c r="D29" s="260"/>
      <c r="E29" s="328">
        <v>1</v>
      </c>
      <c r="F29" s="261">
        <f>E29*F26</f>
        <v>44</v>
      </c>
      <c r="G29" s="383">
        <f>O29/$K$4</f>
        <v>0</v>
      </c>
      <c r="H29" s="382">
        <f>G29*F29</f>
        <v>0</v>
      </c>
      <c r="I29" s="328"/>
      <c r="J29" s="382"/>
      <c r="K29" s="667">
        <f t="shared" si="0"/>
        <v>0</v>
      </c>
      <c r="L29" s="446"/>
      <c r="M29" s="446"/>
      <c r="O29" s="241"/>
      <c r="P29" s="242"/>
    </row>
    <row r="30" spans="1:16" s="451" customFormat="1" ht="16.2" customHeight="1">
      <c r="A30" s="445">
        <v>7</v>
      </c>
      <c r="B30" s="704" t="s">
        <v>216</v>
      </c>
      <c r="C30" s="664" t="s">
        <v>208</v>
      </c>
      <c r="D30" s="327" t="s">
        <v>73</v>
      </c>
      <c r="E30" s="327"/>
      <c r="F30" s="325">
        <v>11</v>
      </c>
      <c r="G30" s="327"/>
      <c r="H30" s="325"/>
      <c r="I30" s="384">
        <f>P30/$K$4</f>
        <v>0</v>
      </c>
      <c r="J30" s="325">
        <f>F30*I30</f>
        <v>0</v>
      </c>
      <c r="K30" s="665">
        <f aca="true" t="shared" si="6" ref="K30:K39">H30+J30</f>
        <v>0</v>
      </c>
      <c r="L30" s="666">
        <f>SUM(K30:K33)</f>
        <v>0</v>
      </c>
      <c r="M30" s="666">
        <f>L30/F30</f>
        <v>0</v>
      </c>
      <c r="O30" s="239"/>
      <c r="P30" s="240"/>
    </row>
    <row r="31" spans="1:16" s="451" customFormat="1" ht="10.2">
      <c r="A31" s="455"/>
      <c r="B31" s="348"/>
      <c r="C31" s="218" t="s">
        <v>205</v>
      </c>
      <c r="D31" s="260" t="s">
        <v>73</v>
      </c>
      <c r="E31" s="328">
        <v>1</v>
      </c>
      <c r="F31" s="261">
        <f>E31*F30</f>
        <v>11</v>
      </c>
      <c r="G31" s="383">
        <f>O31/$K$4</f>
        <v>0</v>
      </c>
      <c r="H31" s="382">
        <f>G31*F31</f>
        <v>0</v>
      </c>
      <c r="I31" s="328"/>
      <c r="J31" s="382"/>
      <c r="K31" s="667">
        <f t="shared" si="6"/>
        <v>0</v>
      </c>
      <c r="L31" s="446"/>
      <c r="M31" s="446"/>
      <c r="O31" s="241"/>
      <c r="P31" s="242"/>
    </row>
    <row r="32" spans="1:16" s="451" customFormat="1" ht="10.2">
      <c r="A32" s="455"/>
      <c r="B32" s="348"/>
      <c r="C32" s="218" t="s">
        <v>206</v>
      </c>
      <c r="D32" s="260" t="s">
        <v>73</v>
      </c>
      <c r="E32" s="328">
        <v>1</v>
      </c>
      <c r="F32" s="261">
        <f>E32*F30</f>
        <v>11</v>
      </c>
      <c r="G32" s="383">
        <f>O32/$K$4</f>
        <v>0</v>
      </c>
      <c r="H32" s="382">
        <f>G32*F32</f>
        <v>0</v>
      </c>
      <c r="I32" s="328"/>
      <c r="J32" s="382"/>
      <c r="K32" s="667">
        <f t="shared" si="6"/>
        <v>0</v>
      </c>
      <c r="L32" s="446"/>
      <c r="M32" s="446"/>
      <c r="O32" s="241"/>
      <c r="P32" s="242"/>
    </row>
    <row r="33" spans="1:16" s="451" customFormat="1" ht="10.8" thickBot="1">
      <c r="A33" s="455"/>
      <c r="B33" s="348"/>
      <c r="C33" s="380" t="s">
        <v>33</v>
      </c>
      <c r="D33" s="260"/>
      <c r="E33" s="328">
        <v>1</v>
      </c>
      <c r="F33" s="261">
        <f>E33*F30</f>
        <v>11</v>
      </c>
      <c r="G33" s="383">
        <f>O33/$K$4</f>
        <v>0</v>
      </c>
      <c r="H33" s="382">
        <f>G33*F33</f>
        <v>0</v>
      </c>
      <c r="I33" s="328"/>
      <c r="J33" s="382"/>
      <c r="K33" s="667">
        <f t="shared" si="6"/>
        <v>0</v>
      </c>
      <c r="L33" s="446"/>
      <c r="M33" s="446"/>
      <c r="O33" s="241"/>
      <c r="P33" s="242"/>
    </row>
    <row r="34" spans="1:16" s="451" customFormat="1" ht="16.2" customHeight="1">
      <c r="A34" s="445">
        <v>8</v>
      </c>
      <c r="B34" s="704" t="s">
        <v>217</v>
      </c>
      <c r="C34" s="664" t="s">
        <v>209</v>
      </c>
      <c r="D34" s="327" t="s">
        <v>73</v>
      </c>
      <c r="E34" s="327"/>
      <c r="F34" s="325">
        <v>27</v>
      </c>
      <c r="G34" s="327"/>
      <c r="H34" s="325"/>
      <c r="I34" s="384">
        <f>P34/$K$4</f>
        <v>0</v>
      </c>
      <c r="J34" s="325">
        <f>F34*I34</f>
        <v>0</v>
      </c>
      <c r="K34" s="665">
        <f t="shared" si="6"/>
        <v>0</v>
      </c>
      <c r="L34" s="666">
        <f>SUM(K34:K36)</f>
        <v>0</v>
      </c>
      <c r="M34" s="666">
        <f>L34/F34</f>
        <v>0</v>
      </c>
      <c r="O34" s="239"/>
      <c r="P34" s="240"/>
    </row>
    <row r="35" spans="1:16" s="451" customFormat="1" ht="10.2">
      <c r="A35" s="455"/>
      <c r="B35" s="348"/>
      <c r="C35" s="218" t="s">
        <v>172</v>
      </c>
      <c r="D35" s="260" t="s">
        <v>73</v>
      </c>
      <c r="E35" s="328">
        <v>1</v>
      </c>
      <c r="F35" s="261">
        <f>$F$49*E35</f>
        <v>36</v>
      </c>
      <c r="G35" s="383">
        <f>O35/$K$4</f>
        <v>0</v>
      </c>
      <c r="H35" s="382">
        <f>G35*F35</f>
        <v>0</v>
      </c>
      <c r="I35" s="328"/>
      <c r="J35" s="382"/>
      <c r="K35" s="667">
        <f t="shared" si="6"/>
        <v>0</v>
      </c>
      <c r="L35" s="446"/>
      <c r="M35" s="446"/>
      <c r="O35" s="241"/>
      <c r="P35" s="242"/>
    </row>
    <row r="36" spans="1:16" s="451" customFormat="1" ht="10.8" thickBot="1">
      <c r="A36" s="447"/>
      <c r="B36" s="703"/>
      <c r="C36" s="381" t="s">
        <v>33</v>
      </c>
      <c r="D36" s="450"/>
      <c r="E36" s="443">
        <v>1</v>
      </c>
      <c r="F36" s="556">
        <f>$F$49*E36</f>
        <v>36</v>
      </c>
      <c r="G36" s="383">
        <f>O36/$K$4</f>
        <v>0</v>
      </c>
      <c r="H36" s="382">
        <f>G36*F36</f>
        <v>0</v>
      </c>
      <c r="I36" s="328"/>
      <c r="J36" s="382"/>
      <c r="K36" s="667">
        <f t="shared" si="6"/>
        <v>0</v>
      </c>
      <c r="L36" s="448"/>
      <c r="M36" s="448"/>
      <c r="O36" s="669"/>
      <c r="P36" s="555"/>
    </row>
    <row r="37" spans="1:16" s="451" customFormat="1" ht="16.2" customHeight="1">
      <c r="A37" s="445">
        <v>9</v>
      </c>
      <c r="B37" s="704" t="s">
        <v>223</v>
      </c>
      <c r="C37" s="664" t="s">
        <v>218</v>
      </c>
      <c r="D37" s="327" t="s">
        <v>73</v>
      </c>
      <c r="E37" s="327"/>
      <c r="F37" s="325">
        <v>1</v>
      </c>
      <c r="G37" s="327"/>
      <c r="H37" s="325"/>
      <c r="I37" s="384">
        <f>P37/$K$4</f>
        <v>0</v>
      </c>
      <c r="J37" s="325">
        <f>F37*I37</f>
        <v>0</v>
      </c>
      <c r="K37" s="665">
        <f t="shared" si="6"/>
        <v>0</v>
      </c>
      <c r="L37" s="666">
        <f>SUM(K37:K39)</f>
        <v>0</v>
      </c>
      <c r="M37" s="666">
        <f>L37/F37</f>
        <v>0</v>
      </c>
      <c r="O37" s="239"/>
      <c r="P37" s="240"/>
    </row>
    <row r="38" spans="1:16" s="451" customFormat="1" ht="10.2">
      <c r="A38" s="455"/>
      <c r="B38" s="348"/>
      <c r="C38" s="218" t="s">
        <v>219</v>
      </c>
      <c r="D38" s="260" t="s">
        <v>73</v>
      </c>
      <c r="E38" s="328">
        <v>1</v>
      </c>
      <c r="F38" s="261">
        <f>E38*F37</f>
        <v>1</v>
      </c>
      <c r="G38" s="383">
        <f>O38/$K$4</f>
        <v>0</v>
      </c>
      <c r="H38" s="382">
        <f>G38*F38</f>
        <v>0</v>
      </c>
      <c r="I38" s="328"/>
      <c r="J38" s="382"/>
      <c r="K38" s="667">
        <f t="shared" si="6"/>
        <v>0</v>
      </c>
      <c r="L38" s="446"/>
      <c r="M38" s="446"/>
      <c r="O38" s="241"/>
      <c r="P38" s="242"/>
    </row>
    <row r="39" spans="1:16" s="451" customFormat="1" ht="10.8" thickBot="1">
      <c r="A39" s="455"/>
      <c r="B39" s="348"/>
      <c r="C39" s="380" t="s">
        <v>33</v>
      </c>
      <c r="D39" s="260"/>
      <c r="E39" s="328">
        <v>1</v>
      </c>
      <c r="F39" s="261">
        <f>E39*F37</f>
        <v>1</v>
      </c>
      <c r="G39" s="383">
        <f>O39/$K$4</f>
        <v>0</v>
      </c>
      <c r="H39" s="382">
        <f>G39*F39</f>
        <v>0</v>
      </c>
      <c r="I39" s="328"/>
      <c r="J39" s="382"/>
      <c r="K39" s="667">
        <f t="shared" si="6"/>
        <v>0</v>
      </c>
      <c r="L39" s="446"/>
      <c r="M39" s="446"/>
      <c r="O39" s="241"/>
      <c r="P39" s="242"/>
    </row>
    <row r="40" spans="1:16" s="451" customFormat="1" ht="16.2" customHeight="1">
      <c r="A40" s="445">
        <v>10</v>
      </c>
      <c r="B40" s="704" t="s">
        <v>226</v>
      </c>
      <c r="C40" s="664" t="s">
        <v>218</v>
      </c>
      <c r="D40" s="327" t="s">
        <v>73</v>
      </c>
      <c r="E40" s="327"/>
      <c r="F40" s="325">
        <v>2</v>
      </c>
      <c r="G40" s="327"/>
      <c r="H40" s="325"/>
      <c r="I40" s="384">
        <f>P40/$K$4</f>
        <v>0</v>
      </c>
      <c r="J40" s="325">
        <f>F40*I40</f>
        <v>0</v>
      </c>
      <c r="K40" s="665">
        <f aca="true" t="shared" si="7" ref="K40:K42">H40+J40</f>
        <v>0</v>
      </c>
      <c r="L40" s="666">
        <f>SUM(K40:K42)</f>
        <v>0</v>
      </c>
      <c r="M40" s="666">
        <f>L40/F40</f>
        <v>0</v>
      </c>
      <c r="O40" s="239"/>
      <c r="P40" s="240"/>
    </row>
    <row r="41" spans="1:16" s="451" customFormat="1" ht="10.2">
      <c r="A41" s="455"/>
      <c r="B41" s="348"/>
      <c r="C41" s="218" t="s">
        <v>220</v>
      </c>
      <c r="D41" s="260" t="s">
        <v>73</v>
      </c>
      <c r="E41" s="328">
        <v>1</v>
      </c>
      <c r="F41" s="261">
        <f>E41*F40</f>
        <v>2</v>
      </c>
      <c r="G41" s="383">
        <f>O41/$K$4</f>
        <v>0</v>
      </c>
      <c r="H41" s="382">
        <f>G41*F41</f>
        <v>0</v>
      </c>
      <c r="I41" s="328"/>
      <c r="J41" s="382"/>
      <c r="K41" s="667">
        <f t="shared" si="7"/>
        <v>0</v>
      </c>
      <c r="L41" s="446"/>
      <c r="M41" s="446"/>
      <c r="O41" s="241"/>
      <c r="P41" s="242"/>
    </row>
    <row r="42" spans="1:16" s="451" customFormat="1" ht="10.8" thickBot="1">
      <c r="A42" s="455"/>
      <c r="B42" s="348"/>
      <c r="C42" s="380" t="s">
        <v>33</v>
      </c>
      <c r="D42" s="260"/>
      <c r="E42" s="328">
        <v>1</v>
      </c>
      <c r="F42" s="261">
        <f>E42*F40</f>
        <v>2</v>
      </c>
      <c r="G42" s="383">
        <f>O42/$K$4</f>
        <v>0</v>
      </c>
      <c r="H42" s="382">
        <f>G42*F42</f>
        <v>0</v>
      </c>
      <c r="I42" s="328"/>
      <c r="J42" s="382"/>
      <c r="K42" s="667">
        <f t="shared" si="7"/>
        <v>0</v>
      </c>
      <c r="L42" s="446"/>
      <c r="M42" s="446"/>
      <c r="O42" s="241"/>
      <c r="P42" s="242"/>
    </row>
    <row r="43" spans="1:16" s="451" customFormat="1" ht="16.2" customHeight="1">
      <c r="A43" s="445">
        <v>11</v>
      </c>
      <c r="B43" s="704" t="s">
        <v>225</v>
      </c>
      <c r="C43" s="664" t="s">
        <v>218</v>
      </c>
      <c r="D43" s="327" t="s">
        <v>73</v>
      </c>
      <c r="E43" s="327"/>
      <c r="F43" s="325">
        <v>2</v>
      </c>
      <c r="G43" s="327"/>
      <c r="H43" s="325"/>
      <c r="I43" s="384">
        <f>P43/$K$4</f>
        <v>0</v>
      </c>
      <c r="J43" s="325">
        <f>F43*I43</f>
        <v>0</v>
      </c>
      <c r="K43" s="665">
        <f aca="true" t="shared" si="8" ref="K43:K45">H43+J43</f>
        <v>0</v>
      </c>
      <c r="L43" s="666">
        <f>SUM(K43:K45)</f>
        <v>0</v>
      </c>
      <c r="M43" s="666">
        <f>L43/F43</f>
        <v>0</v>
      </c>
      <c r="O43" s="239"/>
      <c r="P43" s="240"/>
    </row>
    <row r="44" spans="1:16" s="451" customFormat="1" ht="10.2">
      <c r="A44" s="455"/>
      <c r="B44" s="348"/>
      <c r="C44" s="218" t="s">
        <v>221</v>
      </c>
      <c r="D44" s="260" t="s">
        <v>73</v>
      </c>
      <c r="E44" s="328">
        <v>1</v>
      </c>
      <c r="F44" s="261">
        <f>E44*F43</f>
        <v>2</v>
      </c>
      <c r="G44" s="383">
        <f>O44/$K$4</f>
        <v>0</v>
      </c>
      <c r="H44" s="382">
        <f>G44*F44</f>
        <v>0</v>
      </c>
      <c r="I44" s="328"/>
      <c r="J44" s="382"/>
      <c r="K44" s="667">
        <f t="shared" si="8"/>
        <v>0</v>
      </c>
      <c r="L44" s="446"/>
      <c r="M44" s="446"/>
      <c r="O44" s="241"/>
      <c r="P44" s="242"/>
    </row>
    <row r="45" spans="1:16" s="451" customFormat="1" ht="10.8" thickBot="1">
      <c r="A45" s="455"/>
      <c r="B45" s="348"/>
      <c r="C45" s="380" t="s">
        <v>33</v>
      </c>
      <c r="D45" s="260"/>
      <c r="E45" s="328">
        <v>1</v>
      </c>
      <c r="F45" s="261">
        <f>E45*F43</f>
        <v>2</v>
      </c>
      <c r="G45" s="383">
        <f>O45/$K$4</f>
        <v>0</v>
      </c>
      <c r="H45" s="382">
        <f>G45*F45</f>
        <v>0</v>
      </c>
      <c r="I45" s="328"/>
      <c r="J45" s="382"/>
      <c r="K45" s="667">
        <f t="shared" si="8"/>
        <v>0</v>
      </c>
      <c r="L45" s="446"/>
      <c r="M45" s="446"/>
      <c r="O45" s="241"/>
      <c r="P45" s="242"/>
    </row>
    <row r="46" spans="1:16" s="451" customFormat="1" ht="16.2" customHeight="1">
      <c r="A46" s="445">
        <v>12</v>
      </c>
      <c r="B46" s="704" t="s">
        <v>224</v>
      </c>
      <c r="C46" s="664" t="s">
        <v>218</v>
      </c>
      <c r="D46" s="327" t="s">
        <v>73</v>
      </c>
      <c r="E46" s="327"/>
      <c r="F46" s="325">
        <v>2</v>
      </c>
      <c r="G46" s="327"/>
      <c r="H46" s="325"/>
      <c r="I46" s="384">
        <f>P46/$K$4</f>
        <v>0</v>
      </c>
      <c r="J46" s="325">
        <f>F46*I46</f>
        <v>0</v>
      </c>
      <c r="K46" s="665">
        <f aca="true" t="shared" si="9" ref="K46:K48">H46+J46</f>
        <v>0</v>
      </c>
      <c r="L46" s="666">
        <f>SUM(K46:K48)</f>
        <v>0</v>
      </c>
      <c r="M46" s="666">
        <f>L46/F46</f>
        <v>0</v>
      </c>
      <c r="O46" s="239"/>
      <c r="P46" s="240"/>
    </row>
    <row r="47" spans="1:16" s="451" customFormat="1" ht="10.2">
      <c r="A47" s="455"/>
      <c r="B47" s="348"/>
      <c r="C47" s="218" t="s">
        <v>222</v>
      </c>
      <c r="D47" s="260" t="s">
        <v>73</v>
      </c>
      <c r="E47" s="328">
        <v>1</v>
      </c>
      <c r="F47" s="261">
        <f>E47*F46</f>
        <v>2</v>
      </c>
      <c r="G47" s="383">
        <f>O47/$K$4</f>
        <v>0</v>
      </c>
      <c r="H47" s="382">
        <f>G47*F47</f>
        <v>0</v>
      </c>
      <c r="I47" s="328"/>
      <c r="J47" s="382"/>
      <c r="K47" s="667">
        <f t="shared" si="9"/>
        <v>0</v>
      </c>
      <c r="L47" s="446"/>
      <c r="M47" s="446"/>
      <c r="O47" s="241"/>
      <c r="P47" s="242"/>
    </row>
    <row r="48" spans="1:16" s="451" customFormat="1" ht="10.8" thickBot="1">
      <c r="A48" s="455"/>
      <c r="B48" s="348"/>
      <c r="C48" s="380" t="s">
        <v>33</v>
      </c>
      <c r="D48" s="260"/>
      <c r="E48" s="328">
        <v>1</v>
      </c>
      <c r="F48" s="261">
        <f>E48*F46</f>
        <v>2</v>
      </c>
      <c r="G48" s="383">
        <f>O48/$K$4</f>
        <v>0</v>
      </c>
      <c r="H48" s="382">
        <f>G48*F48</f>
        <v>0</v>
      </c>
      <c r="I48" s="328"/>
      <c r="J48" s="382"/>
      <c r="K48" s="667">
        <f t="shared" si="9"/>
        <v>0</v>
      </c>
      <c r="L48" s="446"/>
      <c r="M48" s="446"/>
      <c r="O48" s="241"/>
      <c r="P48" s="242"/>
    </row>
    <row r="49" spans="1:16" s="451" customFormat="1" ht="16.2" customHeight="1">
      <c r="A49" s="445">
        <v>13</v>
      </c>
      <c r="B49" s="704" t="s">
        <v>227</v>
      </c>
      <c r="C49" s="664" t="s">
        <v>228</v>
      </c>
      <c r="D49" s="327" t="s">
        <v>73</v>
      </c>
      <c r="E49" s="327"/>
      <c r="F49" s="325">
        <v>36</v>
      </c>
      <c r="G49" s="327"/>
      <c r="H49" s="325"/>
      <c r="I49" s="384">
        <f>P49/$K$4</f>
        <v>0</v>
      </c>
      <c r="J49" s="325">
        <f>F49*I49</f>
        <v>0</v>
      </c>
      <c r="K49" s="665">
        <f t="shared" si="0"/>
        <v>0</v>
      </c>
      <c r="L49" s="666">
        <f>SUM(K49:K51)</f>
        <v>0</v>
      </c>
      <c r="M49" s="666">
        <f>L49/F49</f>
        <v>0</v>
      </c>
      <c r="O49" s="239"/>
      <c r="P49" s="240"/>
    </row>
    <row r="50" spans="1:16" s="451" customFormat="1" ht="10.2">
      <c r="A50" s="455"/>
      <c r="B50" s="347"/>
      <c r="C50" s="218" t="s">
        <v>229</v>
      </c>
      <c r="D50" s="260" t="s">
        <v>73</v>
      </c>
      <c r="E50" s="328">
        <v>1</v>
      </c>
      <c r="F50" s="261">
        <f>$F$49*E50</f>
        <v>36</v>
      </c>
      <c r="G50" s="383">
        <f>O50/$K$4</f>
        <v>0</v>
      </c>
      <c r="H50" s="382">
        <f>G50*F50</f>
        <v>0</v>
      </c>
      <c r="I50" s="328"/>
      <c r="J50" s="382"/>
      <c r="K50" s="667">
        <f t="shared" si="0"/>
        <v>0</v>
      </c>
      <c r="L50" s="446"/>
      <c r="M50" s="446"/>
      <c r="O50" s="241"/>
      <c r="P50" s="242"/>
    </row>
    <row r="51" spans="1:16" s="451" customFormat="1" ht="10.8" thickBot="1">
      <c r="A51" s="447"/>
      <c r="B51" s="668"/>
      <c r="C51" s="381" t="s">
        <v>33</v>
      </c>
      <c r="D51" s="450"/>
      <c r="E51" s="443">
        <v>1</v>
      </c>
      <c r="F51" s="556">
        <f>$F$49*E51</f>
        <v>36</v>
      </c>
      <c r="G51" s="706">
        <f>O51/$K$4</f>
        <v>0</v>
      </c>
      <c r="H51" s="638">
        <f>G51*F51</f>
        <v>0</v>
      </c>
      <c r="I51" s="443"/>
      <c r="J51" s="638"/>
      <c r="K51" s="707">
        <f t="shared" si="0"/>
        <v>0</v>
      </c>
      <c r="L51" s="448"/>
      <c r="M51" s="448"/>
      <c r="N51" s="190"/>
      <c r="O51" s="669"/>
      <c r="P51" s="555"/>
    </row>
    <row r="52" spans="1:16" s="12" customFormat="1" ht="10.8" thickBot="1">
      <c r="A52" s="6"/>
      <c r="B52" s="61"/>
      <c r="C52" s="6"/>
      <c r="D52" s="6"/>
      <c r="E52" s="6"/>
      <c r="F52" s="444"/>
      <c r="G52" s="30"/>
      <c r="H52" s="705">
        <f>SUM(H11:H51)</f>
        <v>0</v>
      </c>
      <c r="I52" s="32"/>
      <c r="J52" s="31"/>
      <c r="K52" s="402"/>
      <c r="O52" s="243"/>
      <c r="P52" s="243"/>
    </row>
    <row r="53" spans="1:16" s="12" customFormat="1" ht="16.2" thickBot="1">
      <c r="A53" s="6"/>
      <c r="B53" s="61"/>
      <c r="C53" s="6"/>
      <c r="D53" s="6"/>
      <c r="E53" s="6"/>
      <c r="F53" s="444"/>
      <c r="G53" s="19"/>
      <c r="H53" s="82" t="s">
        <v>173</v>
      </c>
      <c r="I53" s="83">
        <v>0.02</v>
      </c>
      <c r="J53" s="20"/>
      <c r="K53" s="244">
        <f>I53*H52</f>
        <v>0</v>
      </c>
      <c r="O53" s="245"/>
      <c r="P53" s="246"/>
    </row>
    <row r="54" spans="1:16" s="12" customFormat="1" ht="16.2" thickBot="1">
      <c r="A54" s="61"/>
      <c r="B54" s="61"/>
      <c r="C54" s="6"/>
      <c r="D54" s="6"/>
      <c r="E54" s="6"/>
      <c r="F54" s="444"/>
      <c r="G54" s="30"/>
      <c r="H54" s="31"/>
      <c r="I54" s="32"/>
      <c r="J54" s="31"/>
      <c r="K54" s="224"/>
      <c r="O54" s="246"/>
      <c r="P54" s="246"/>
    </row>
    <row r="55" spans="1:16" s="12" customFormat="1" ht="16.2" thickBot="1">
      <c r="A55" s="61"/>
      <c r="B55" s="61"/>
      <c r="C55" s="1"/>
      <c r="D55" s="629"/>
      <c r="E55" s="1"/>
      <c r="F55" s="451"/>
      <c r="G55" s="19"/>
      <c r="H55" s="20" t="s">
        <v>56</v>
      </c>
      <c r="I55" s="21"/>
      <c r="J55" s="20"/>
      <c r="K55" s="244">
        <f>SUM(K11:K54)</f>
        <v>0</v>
      </c>
      <c r="O55" s="246"/>
      <c r="P55" s="246"/>
    </row>
    <row r="56" spans="1:16" s="12" customFormat="1" ht="16.2" thickBot="1">
      <c r="A56" s="61"/>
      <c r="B56" s="61"/>
      <c r="C56" s="1"/>
      <c r="D56" s="629"/>
      <c r="E56" s="1"/>
      <c r="F56" s="451"/>
      <c r="G56" s="33"/>
      <c r="H56" s="34"/>
      <c r="I56" s="35"/>
      <c r="J56" s="34"/>
      <c r="K56" s="247"/>
      <c r="O56" s="246"/>
      <c r="P56" s="246"/>
    </row>
    <row r="57" spans="1:16" s="12" customFormat="1" ht="15.75">
      <c r="A57" s="70"/>
      <c r="B57" s="62"/>
      <c r="C57" s="8"/>
      <c r="F57" s="13"/>
      <c r="G57" s="22"/>
      <c r="H57" s="44" t="s">
        <v>174</v>
      </c>
      <c r="I57" s="24">
        <v>0.08</v>
      </c>
      <c r="J57" s="25"/>
      <c r="K57" s="248">
        <f>K55*I57</f>
        <v>0</v>
      </c>
      <c r="O57" s="246"/>
      <c r="P57" s="246"/>
    </row>
    <row r="58" spans="1:16" s="12" customFormat="1" ht="16.2" thickBot="1">
      <c r="A58" s="70"/>
      <c r="B58" s="62"/>
      <c r="C58" s="8"/>
      <c r="F58" s="13"/>
      <c r="G58" s="16"/>
      <c r="H58" s="42" t="s">
        <v>56</v>
      </c>
      <c r="I58" s="26"/>
      <c r="J58" s="43"/>
      <c r="K58" s="249">
        <f>K55+K57</f>
        <v>0</v>
      </c>
      <c r="O58" s="246"/>
      <c r="P58" s="246"/>
    </row>
    <row r="59" spans="1:16" s="12" customFormat="1" ht="16.2" thickBot="1">
      <c r="A59" s="70"/>
      <c r="B59" s="62"/>
      <c r="C59" s="8"/>
      <c r="F59" s="13"/>
      <c r="G59" s="36"/>
      <c r="H59" s="37"/>
      <c r="I59" s="38"/>
      <c r="J59" s="39"/>
      <c r="K59" s="250"/>
      <c r="O59" s="246"/>
      <c r="P59" s="246"/>
    </row>
    <row r="60" spans="1:16" s="12" customFormat="1" ht="15.75">
      <c r="A60" s="70"/>
      <c r="B60" s="62"/>
      <c r="C60" s="8"/>
      <c r="F60" s="13"/>
      <c r="G60" s="27"/>
      <c r="H60" s="44" t="s">
        <v>175</v>
      </c>
      <c r="I60" s="24">
        <v>0.08</v>
      </c>
      <c r="J60" s="25"/>
      <c r="K60" s="248">
        <f>K58*I60</f>
        <v>0</v>
      </c>
      <c r="O60" s="246"/>
      <c r="P60" s="246"/>
    </row>
    <row r="61" spans="1:16" s="12" customFormat="1" ht="16.2" thickBot="1">
      <c r="A61" s="70"/>
      <c r="B61" s="62"/>
      <c r="C61" s="8"/>
      <c r="F61" s="13"/>
      <c r="G61" s="16"/>
      <c r="H61" s="42" t="s">
        <v>56</v>
      </c>
      <c r="I61" s="28"/>
      <c r="J61" s="43"/>
      <c r="K61" s="249">
        <f>K58+K60</f>
        <v>0</v>
      </c>
      <c r="O61" s="246"/>
      <c r="P61" s="246"/>
    </row>
    <row r="62" spans="1:16" s="12" customFormat="1" ht="16.2" thickBot="1">
      <c r="A62" s="70"/>
      <c r="B62" s="62"/>
      <c r="C62" s="8"/>
      <c r="F62" s="13"/>
      <c r="G62" s="36"/>
      <c r="H62" s="37"/>
      <c r="I62" s="40"/>
      <c r="J62" s="39"/>
      <c r="K62" s="250"/>
      <c r="O62" s="246"/>
      <c r="P62" s="246"/>
    </row>
    <row r="63" spans="1:16" s="12" customFormat="1" ht="15.75">
      <c r="A63" s="70"/>
      <c r="B63" s="62"/>
      <c r="C63" s="8"/>
      <c r="F63" s="13"/>
      <c r="G63" s="27"/>
      <c r="H63" s="44" t="s">
        <v>176</v>
      </c>
      <c r="I63" s="24">
        <v>0</v>
      </c>
      <c r="J63" s="25"/>
      <c r="K63" s="248">
        <f>K61*I63</f>
        <v>0</v>
      </c>
      <c r="O63" s="246"/>
      <c r="P63" s="246"/>
    </row>
    <row r="64" spans="1:16" s="8" customFormat="1" ht="16.2" thickBot="1">
      <c r="A64" s="70"/>
      <c r="B64" s="62"/>
      <c r="D64" s="12"/>
      <c r="E64" s="12"/>
      <c r="F64" s="13"/>
      <c r="G64" s="16"/>
      <c r="H64" s="42" t="s">
        <v>56</v>
      </c>
      <c r="I64" s="29"/>
      <c r="J64" s="43"/>
      <c r="K64" s="249">
        <f>K61+K63</f>
        <v>0</v>
      </c>
      <c r="O64" s="246"/>
      <c r="P64" s="246"/>
    </row>
    <row r="65" spans="1:16" s="8" customFormat="1" ht="16.2" thickBot="1">
      <c r="A65" s="70"/>
      <c r="B65" s="62"/>
      <c r="D65" s="12"/>
      <c r="E65" s="12"/>
      <c r="F65" s="13"/>
      <c r="G65" s="36"/>
      <c r="H65" s="37"/>
      <c r="I65" s="41"/>
      <c r="J65" s="39"/>
      <c r="K65" s="250"/>
      <c r="O65" s="246"/>
      <c r="P65" s="246"/>
    </row>
    <row r="66" spans="1:16" s="6" customFormat="1" ht="15.75">
      <c r="A66" s="70"/>
      <c r="B66" s="62"/>
      <c r="C66" s="8"/>
      <c r="D66" s="12"/>
      <c r="E66" s="12"/>
      <c r="F66" s="13"/>
      <c r="G66" s="27"/>
      <c r="H66" s="23" t="s">
        <v>71</v>
      </c>
      <c r="I66" s="24">
        <v>0.18</v>
      </c>
      <c r="J66" s="25"/>
      <c r="K66" s="251">
        <f>K64*I66</f>
        <v>0</v>
      </c>
      <c r="O66" s="246"/>
      <c r="P66" s="246"/>
    </row>
    <row r="67" spans="1:16" s="6" customFormat="1" ht="16.2" thickBot="1">
      <c r="A67" s="70"/>
      <c r="B67" s="62"/>
      <c r="C67" s="8"/>
      <c r="D67" s="12"/>
      <c r="E67" s="12"/>
      <c r="F67" s="13"/>
      <c r="G67" s="16"/>
      <c r="H67" s="17" t="s">
        <v>56</v>
      </c>
      <c r="I67" s="26" t="s">
        <v>12</v>
      </c>
      <c r="J67" s="18"/>
      <c r="K67" s="252">
        <f>K64+K66</f>
        <v>0</v>
      </c>
      <c r="O67" s="246"/>
      <c r="P67" s="246"/>
    </row>
  </sheetData>
  <mergeCells count="17">
    <mergeCell ref="A7:A8"/>
    <mergeCell ref="B7:B8"/>
    <mergeCell ref="C7:C8"/>
    <mergeCell ref="D7:D8"/>
    <mergeCell ref="E7:F7"/>
    <mergeCell ref="C1:E1"/>
    <mergeCell ref="A2:C2"/>
    <mergeCell ref="I2:K2"/>
    <mergeCell ref="A3:B3"/>
    <mergeCell ref="C5:F5"/>
    <mergeCell ref="P7:P8"/>
    <mergeCell ref="G7:H7"/>
    <mergeCell ref="I7:J7"/>
    <mergeCell ref="K7:K8"/>
    <mergeCell ref="L7:L8"/>
    <mergeCell ref="M7:M8"/>
    <mergeCell ref="O7:O8"/>
  </mergeCells>
  <printOptions/>
  <pageMargins left="0.7500000000000001" right="0.7500000000000001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61"/>
  <sheetViews>
    <sheetView zoomScalePageLayoutView="130" workbookViewId="0" topLeftCell="A1">
      <selection activeCell="G20" sqref="G20"/>
    </sheetView>
  </sheetViews>
  <sheetFormatPr defaultColWidth="11.00390625" defaultRowHeight="15.75"/>
  <cols>
    <col min="1" max="1" width="2.375" style="0" bestFit="1" customWidth="1"/>
    <col min="2" max="2" width="33.625" style="0" customWidth="1"/>
    <col min="4" max="4" width="9.125" style="0" customWidth="1"/>
    <col min="6" max="6" width="7.625" style="0" bestFit="1" customWidth="1"/>
    <col min="7" max="7" width="19.625" style="0" customWidth="1"/>
    <col min="8" max="8" width="13.125" style="0" customWidth="1"/>
    <col min="9" max="9" width="12.50390625" style="0" customWidth="1"/>
    <col min="10" max="10" width="15.50390625" style="0" bestFit="1" customWidth="1"/>
    <col min="11" max="11" width="14.125" style="0" customWidth="1"/>
    <col min="12" max="12" width="11.125" style="0" bestFit="1" customWidth="1"/>
    <col min="13" max="13" width="5.875" style="0" customWidth="1"/>
    <col min="14" max="14" width="10.50390625" style="698" bestFit="1" customWidth="1"/>
    <col min="15" max="15" width="9.375" style="554" bestFit="1" customWidth="1"/>
    <col min="16" max="16" width="15.50390625" style="0" bestFit="1" customWidth="1"/>
  </cols>
  <sheetData>
    <row r="1" spans="1:16" s="6" customFormat="1" ht="18" customHeight="1" thickBot="1">
      <c r="A1" s="69"/>
      <c r="B1" s="60"/>
      <c r="C1" s="708"/>
      <c r="D1" s="817" t="str">
        <f>TOTAL!A2</f>
        <v>სითი მოლი საბურთალო</v>
      </c>
      <c r="E1" s="817"/>
      <c r="F1" s="817"/>
      <c r="G1" s="451"/>
      <c r="H1" s="1"/>
      <c r="I1" s="451"/>
      <c r="J1" s="1"/>
      <c r="K1" s="451"/>
      <c r="L1" s="1"/>
      <c r="N1" s="528"/>
      <c r="O1" s="527"/>
      <c r="P1" s="1"/>
    </row>
    <row r="2" spans="1:15" s="6" customFormat="1" ht="18.6" thickBot="1">
      <c r="A2" s="860" t="s">
        <v>273</v>
      </c>
      <c r="B2" s="860"/>
      <c r="C2" s="868"/>
      <c r="D2" s="861"/>
      <c r="E2" s="700"/>
      <c r="F2" s="1"/>
      <c r="G2" s="451"/>
      <c r="H2" s="1"/>
      <c r="I2" s="451"/>
      <c r="J2" s="838"/>
      <c r="K2" s="839"/>
      <c r="L2" s="840"/>
      <c r="M2" s="320"/>
      <c r="N2" s="527"/>
      <c r="O2" s="527"/>
    </row>
    <row r="3" spans="1:15" s="6" customFormat="1" ht="21" thickBot="1">
      <c r="A3" s="841"/>
      <c r="B3" s="841"/>
      <c r="C3" s="69"/>
      <c r="D3" s="45"/>
      <c r="F3" s="45"/>
      <c r="G3" s="45"/>
      <c r="H3" s="45"/>
      <c r="I3" s="45"/>
      <c r="J3" s="701" t="s">
        <v>62</v>
      </c>
      <c r="K3" s="699" t="s">
        <v>63</v>
      </c>
      <c r="L3" s="670" t="s">
        <v>64</v>
      </c>
      <c r="M3" s="320"/>
      <c r="N3" s="529"/>
      <c r="O3" s="529"/>
    </row>
    <row r="4" spans="1:15" s="6" customFormat="1" ht="16.2" thickBot="1">
      <c r="A4" s="69"/>
      <c r="B4" s="60"/>
      <c r="C4" s="708"/>
      <c r="D4" s="858"/>
      <c r="E4" s="859"/>
      <c r="F4" s="859"/>
      <c r="G4" s="859"/>
      <c r="H4" s="46"/>
      <c r="I4" s="46"/>
      <c r="J4" s="530">
        <f>L52</f>
        <v>0</v>
      </c>
      <c r="K4" s="531">
        <f>J4*L4</f>
        <v>0</v>
      </c>
      <c r="L4" s="638">
        <f>TOTAL!C24</f>
        <v>2.45</v>
      </c>
      <c r="N4" s="528"/>
      <c r="O4" s="532"/>
    </row>
    <row r="5" spans="1:16" s="6" customFormat="1" ht="10.2">
      <c r="A5" s="69"/>
      <c r="B5" s="60"/>
      <c r="C5" s="708"/>
      <c r="D5" s="1"/>
      <c r="E5" s="47"/>
      <c r="F5" s="46"/>
      <c r="G5" s="46"/>
      <c r="H5" s="46"/>
      <c r="I5" s="46"/>
      <c r="J5" s="533"/>
      <c r="K5" s="68"/>
      <c r="L5" s="234"/>
      <c r="N5" s="532"/>
      <c r="O5" s="532"/>
      <c r="P5" s="533"/>
    </row>
    <row r="6" spans="1:16" s="6" customFormat="1" ht="10.8" thickBot="1">
      <c r="A6" s="69"/>
      <c r="B6" s="60"/>
      <c r="C6" s="708"/>
      <c r="D6" s="1"/>
      <c r="E6" s="700"/>
      <c r="F6" s="700"/>
      <c r="G6" s="3"/>
      <c r="H6" s="700"/>
      <c r="I6" s="3"/>
      <c r="J6" s="700"/>
      <c r="K6" s="451"/>
      <c r="L6" s="8"/>
      <c r="N6" s="534"/>
      <c r="O6" s="534"/>
      <c r="P6" s="700"/>
    </row>
    <row r="7" spans="1:18" ht="16.35" customHeight="1" thickBot="1">
      <c r="A7" s="869" t="s">
        <v>0</v>
      </c>
      <c r="B7" s="865" t="s">
        <v>170</v>
      </c>
      <c r="C7" s="846" t="s">
        <v>53</v>
      </c>
      <c r="D7" s="838" t="s">
        <v>50</v>
      </c>
      <c r="E7" s="840"/>
      <c r="F7" s="838" t="s">
        <v>54</v>
      </c>
      <c r="G7" s="840"/>
      <c r="H7" s="838" t="s">
        <v>55</v>
      </c>
      <c r="I7" s="840"/>
      <c r="J7" s="830" t="s">
        <v>56</v>
      </c>
      <c r="K7" s="830" t="s">
        <v>57</v>
      </c>
      <c r="L7" s="830" t="s">
        <v>58</v>
      </c>
      <c r="M7" s="169"/>
      <c r="N7" s="709"/>
      <c r="O7" s="710"/>
      <c r="P7" s="711"/>
      <c r="Q7" s="169"/>
      <c r="R7" s="169"/>
    </row>
    <row r="8" spans="1:18" ht="21" thickBot="1">
      <c r="A8" s="870"/>
      <c r="B8" s="866"/>
      <c r="C8" s="847"/>
      <c r="D8" s="281" t="s">
        <v>59</v>
      </c>
      <c r="E8" s="282" t="s">
        <v>56</v>
      </c>
      <c r="F8" s="281" t="s">
        <v>60</v>
      </c>
      <c r="G8" s="282" t="s">
        <v>56</v>
      </c>
      <c r="H8" s="281" t="s">
        <v>60</v>
      </c>
      <c r="I8" s="282" t="s">
        <v>56</v>
      </c>
      <c r="J8" s="831"/>
      <c r="K8" s="831"/>
      <c r="L8" s="831"/>
      <c r="M8" s="169"/>
      <c r="N8" s="652" t="s">
        <v>148</v>
      </c>
      <c r="O8" s="712" t="s">
        <v>149</v>
      </c>
      <c r="P8" s="713" t="s">
        <v>231</v>
      </c>
      <c r="Q8" s="169"/>
      <c r="R8" s="169"/>
    </row>
    <row r="9" spans="1:18" s="717" customFormat="1" ht="16.2" thickBot="1">
      <c r="A9" s="714" t="s">
        <v>1</v>
      </c>
      <c r="B9" s="322" t="s">
        <v>232</v>
      </c>
      <c r="C9" s="322" t="s">
        <v>2</v>
      </c>
      <c r="D9" s="280" t="s">
        <v>3</v>
      </c>
      <c r="E9" s="280" t="s">
        <v>14</v>
      </c>
      <c r="F9" s="287" t="s">
        <v>4</v>
      </c>
      <c r="G9" s="280" t="s">
        <v>5</v>
      </c>
      <c r="H9" s="287" t="s">
        <v>6</v>
      </c>
      <c r="I9" s="280" t="s">
        <v>7</v>
      </c>
      <c r="J9" s="639" t="s">
        <v>8</v>
      </c>
      <c r="K9" s="279" t="s">
        <v>9</v>
      </c>
      <c r="L9" s="279">
        <v>12</v>
      </c>
      <c r="M9" s="715"/>
      <c r="N9" s="274" t="s">
        <v>25</v>
      </c>
      <c r="O9" s="275" t="s">
        <v>18</v>
      </c>
      <c r="P9" s="287" t="s">
        <v>26</v>
      </c>
      <c r="Q9" s="716"/>
      <c r="R9" s="716"/>
    </row>
    <row r="10" spans="1:16" s="6" customFormat="1" ht="10.8" thickBot="1">
      <c r="A10" s="284"/>
      <c r="B10" s="375"/>
      <c r="C10" s="375"/>
      <c r="D10" s="54"/>
      <c r="E10" s="286"/>
      <c r="F10" s="288"/>
      <c r="G10" s="54"/>
      <c r="H10" s="288"/>
      <c r="I10" s="54"/>
      <c r="J10" s="51"/>
      <c r="K10" s="53"/>
      <c r="L10" s="54"/>
      <c r="M10" s="206"/>
      <c r="N10" s="640"/>
      <c r="O10" s="640"/>
      <c r="P10" s="288"/>
    </row>
    <row r="11" spans="1:18" ht="24.75" customHeight="1" thickBot="1">
      <c r="A11" s="718">
        <v>1</v>
      </c>
      <c r="B11" s="719" t="s">
        <v>233</v>
      </c>
      <c r="C11" s="720" t="s">
        <v>75</v>
      </c>
      <c r="D11" s="721"/>
      <c r="E11" s="722">
        <v>450</v>
      </c>
      <c r="F11" s="723"/>
      <c r="G11" s="724"/>
      <c r="H11" s="723">
        <f>O11/$L$4</f>
        <v>0</v>
      </c>
      <c r="I11" s="724">
        <f>H11*E11</f>
        <v>0</v>
      </c>
      <c r="J11" s="723">
        <f>P11/$L$4</f>
        <v>0</v>
      </c>
      <c r="K11" s="724">
        <f>J11*E11</f>
        <v>0</v>
      </c>
      <c r="L11" s="725">
        <f aca="true" t="shared" si="0" ref="L11:L13">K11+I11+G11</f>
        <v>0</v>
      </c>
      <c r="M11" s="169"/>
      <c r="N11" s="726"/>
      <c r="O11" s="727"/>
      <c r="P11" s="728"/>
      <c r="Q11" s="169"/>
      <c r="R11" s="169"/>
    </row>
    <row r="12" spans="1:18" ht="24.75" customHeight="1" thickBot="1">
      <c r="A12" s="718">
        <v>2</v>
      </c>
      <c r="B12" s="719" t="s">
        <v>234</v>
      </c>
      <c r="C12" s="720" t="s">
        <v>75</v>
      </c>
      <c r="D12" s="721"/>
      <c r="E12" s="722">
        <f>450*0.3</f>
        <v>135</v>
      </c>
      <c r="F12" s="729">
        <f aca="true" t="shared" si="1" ref="F12:F20">N12/$L$4</f>
        <v>0</v>
      </c>
      <c r="G12" s="724">
        <f>F12*E12</f>
        <v>0</v>
      </c>
      <c r="H12" s="723">
        <f>O12/$L$4</f>
        <v>0</v>
      </c>
      <c r="I12" s="724">
        <f>H12*E12</f>
        <v>0</v>
      </c>
      <c r="J12" s="723">
        <f>P12/$L$4</f>
        <v>0</v>
      </c>
      <c r="K12" s="724">
        <f>J12*E12</f>
        <v>0</v>
      </c>
      <c r="L12" s="725">
        <f t="shared" si="0"/>
        <v>0</v>
      </c>
      <c r="M12" s="169"/>
      <c r="N12" s="726"/>
      <c r="O12" s="727"/>
      <c r="P12" s="728"/>
      <c r="Q12" s="169"/>
      <c r="R12" s="169"/>
    </row>
    <row r="13" spans="1:18" ht="20.4">
      <c r="A13" s="730">
        <v>3</v>
      </c>
      <c r="B13" s="731" t="s">
        <v>235</v>
      </c>
      <c r="C13" s="732" t="s">
        <v>75</v>
      </c>
      <c r="D13" s="733"/>
      <c r="E13" s="734">
        <f>80*3*0.25</f>
        <v>60</v>
      </c>
      <c r="F13" s="735"/>
      <c r="G13" s="736"/>
      <c r="H13" s="735">
        <f>O13/$L$4</f>
        <v>0</v>
      </c>
      <c r="I13" s="736">
        <f>H13*E13</f>
        <v>0</v>
      </c>
      <c r="J13" s="735"/>
      <c r="K13" s="736"/>
      <c r="L13" s="737">
        <f t="shared" si="0"/>
        <v>0</v>
      </c>
      <c r="M13" s="169"/>
      <c r="N13" s="738"/>
      <c r="O13" s="739"/>
      <c r="P13" s="740"/>
      <c r="Q13" s="169"/>
      <c r="R13" s="169"/>
    </row>
    <row r="14" spans="1:16" s="6" customFormat="1" ht="15.75" customHeight="1">
      <c r="A14" s="619"/>
      <c r="B14" s="741" t="s">
        <v>236</v>
      </c>
      <c r="C14" s="742" t="s">
        <v>75</v>
      </c>
      <c r="D14" s="743">
        <v>1.015</v>
      </c>
      <c r="E14" s="663">
        <f>$E$13*D14</f>
        <v>60.89999999999999</v>
      </c>
      <c r="F14" s="744">
        <f t="shared" si="1"/>
        <v>0</v>
      </c>
      <c r="G14" s="745">
        <f>E14*F14</f>
        <v>0</v>
      </c>
      <c r="H14" s="663"/>
      <c r="I14" s="663"/>
      <c r="J14" s="746">
        <f>P14/L4</f>
        <v>0</v>
      </c>
      <c r="K14" s="663">
        <f>J14*E14</f>
        <v>0</v>
      </c>
      <c r="L14" s="747">
        <f>G14+I14+K14</f>
        <v>0</v>
      </c>
      <c r="N14" s="748"/>
      <c r="O14" s="749"/>
      <c r="P14" s="750"/>
    </row>
    <row r="15" spans="1:16" s="6" customFormat="1" ht="15.75" customHeight="1">
      <c r="A15" s="619"/>
      <c r="B15" s="741" t="s">
        <v>237</v>
      </c>
      <c r="C15" s="751" t="s">
        <v>81</v>
      </c>
      <c r="D15" s="752">
        <v>1.76</v>
      </c>
      <c r="E15" s="663">
        <f>$E$13*D15</f>
        <v>105.6</v>
      </c>
      <c r="F15" s="744">
        <f>N15/$L$4</f>
        <v>0</v>
      </c>
      <c r="G15" s="745">
        <f aca="true" t="shared" si="2" ref="G15:G20">E15*F15</f>
        <v>0</v>
      </c>
      <c r="H15" s="663"/>
      <c r="I15" s="663"/>
      <c r="J15" s="753"/>
      <c r="K15" s="663"/>
      <c r="L15" s="747">
        <f aca="true" t="shared" si="3" ref="L15:L20">G15+I15+K15</f>
        <v>0</v>
      </c>
      <c r="N15" s="754"/>
      <c r="O15" s="749"/>
      <c r="P15" s="750"/>
    </row>
    <row r="16" spans="1:16" s="6" customFormat="1" ht="15.75" customHeight="1">
      <c r="A16" s="619"/>
      <c r="B16" s="741" t="s">
        <v>238</v>
      </c>
      <c r="C16" s="742" t="s">
        <v>75</v>
      </c>
      <c r="D16" s="752">
        <v>45</v>
      </c>
      <c r="E16" s="663">
        <f>12*3/D16*E13</f>
        <v>48</v>
      </c>
      <c r="F16" s="744">
        <f t="shared" si="1"/>
        <v>0</v>
      </c>
      <c r="G16" s="745">
        <f t="shared" si="2"/>
        <v>0</v>
      </c>
      <c r="H16" s="663"/>
      <c r="I16" s="663"/>
      <c r="J16" s="753"/>
      <c r="K16" s="663"/>
      <c r="L16" s="747">
        <f t="shared" si="3"/>
        <v>0</v>
      </c>
      <c r="N16" s="754"/>
      <c r="O16" s="749"/>
      <c r="P16" s="750"/>
    </row>
    <row r="17" spans="1:16" s="6" customFormat="1" ht="15.75" customHeight="1">
      <c r="A17" s="619"/>
      <c r="B17" s="741" t="s">
        <v>239</v>
      </c>
      <c r="C17" s="751" t="s">
        <v>142</v>
      </c>
      <c r="D17" s="752">
        <v>2.7</v>
      </c>
      <c r="E17" s="663">
        <f>E13*D17</f>
        <v>162</v>
      </c>
      <c r="F17" s="744">
        <f>N17/$L$4</f>
        <v>0</v>
      </c>
      <c r="G17" s="745">
        <f t="shared" si="2"/>
        <v>0</v>
      </c>
      <c r="H17" s="663"/>
      <c r="I17" s="663"/>
      <c r="J17" s="753"/>
      <c r="K17" s="663"/>
      <c r="L17" s="747">
        <f t="shared" si="3"/>
        <v>0</v>
      </c>
      <c r="N17" s="754"/>
      <c r="O17" s="749"/>
      <c r="P17" s="750"/>
    </row>
    <row r="18" spans="1:16" s="6" customFormat="1" ht="15.75" customHeight="1">
      <c r="A18" s="619"/>
      <c r="B18" s="741" t="s">
        <v>240</v>
      </c>
      <c r="C18" s="751" t="s">
        <v>142</v>
      </c>
      <c r="D18" s="752">
        <v>2.1</v>
      </c>
      <c r="E18" s="663">
        <f>E13*D18</f>
        <v>126</v>
      </c>
      <c r="F18" s="744">
        <f t="shared" si="1"/>
        <v>0</v>
      </c>
      <c r="G18" s="745">
        <f t="shared" si="2"/>
        <v>0</v>
      </c>
      <c r="H18" s="663"/>
      <c r="I18" s="663"/>
      <c r="J18" s="753"/>
      <c r="K18" s="663"/>
      <c r="L18" s="747">
        <f t="shared" si="3"/>
        <v>0</v>
      </c>
      <c r="N18" s="754"/>
      <c r="O18" s="749"/>
      <c r="P18" s="750"/>
    </row>
    <row r="19" spans="1:16" s="6" customFormat="1" ht="15.75" customHeight="1">
      <c r="A19" s="619"/>
      <c r="B19" s="741" t="s">
        <v>241</v>
      </c>
      <c r="C19" s="751" t="s">
        <v>77</v>
      </c>
      <c r="D19" s="752">
        <v>0.1</v>
      </c>
      <c r="E19" s="663">
        <f>E13*D19</f>
        <v>6</v>
      </c>
      <c r="F19" s="744">
        <f t="shared" si="1"/>
        <v>0</v>
      </c>
      <c r="G19" s="745">
        <f t="shared" si="2"/>
        <v>0</v>
      </c>
      <c r="H19" s="744">
        <f>O19/$L$4</f>
        <v>0</v>
      </c>
      <c r="I19" s="663">
        <f>E19*H19</f>
        <v>0</v>
      </c>
      <c r="J19" s="746">
        <f>P19/L4</f>
        <v>0</v>
      </c>
      <c r="K19" s="663">
        <f>J19*E19</f>
        <v>0</v>
      </c>
      <c r="L19" s="747">
        <f t="shared" si="3"/>
        <v>0</v>
      </c>
      <c r="N19" s="754"/>
      <c r="O19" s="749"/>
      <c r="P19" s="750"/>
    </row>
    <row r="20" spans="1:16" s="6" customFormat="1" ht="15.75" customHeight="1" thickBot="1">
      <c r="A20" s="755"/>
      <c r="B20" s="756" t="s">
        <v>242</v>
      </c>
      <c r="C20" s="757" t="s">
        <v>63</v>
      </c>
      <c r="D20" s="758">
        <v>1</v>
      </c>
      <c r="E20" s="759">
        <f>E13*D20</f>
        <v>60</v>
      </c>
      <c r="F20" s="760">
        <f t="shared" si="1"/>
        <v>0</v>
      </c>
      <c r="G20" s="761">
        <f t="shared" si="2"/>
        <v>0</v>
      </c>
      <c r="H20" s="759"/>
      <c r="I20" s="759"/>
      <c r="J20" s="758"/>
      <c r="K20" s="759"/>
      <c r="L20" s="762">
        <f t="shared" si="3"/>
        <v>0</v>
      </c>
      <c r="N20" s="763"/>
      <c r="O20" s="764"/>
      <c r="P20" s="765"/>
    </row>
    <row r="21" spans="1:18" ht="15.75">
      <c r="A21" s="730">
        <v>4</v>
      </c>
      <c r="B21" s="731" t="s">
        <v>285</v>
      </c>
      <c r="C21" s="732" t="s">
        <v>81</v>
      </c>
      <c r="D21" s="733"/>
      <c r="E21" s="734">
        <v>1523</v>
      </c>
      <c r="F21" s="735"/>
      <c r="G21" s="736"/>
      <c r="H21" s="735">
        <f>O21/$L$4</f>
        <v>0</v>
      </c>
      <c r="I21" s="736">
        <f>H21*E21</f>
        <v>0</v>
      </c>
      <c r="J21" s="735"/>
      <c r="K21" s="736"/>
      <c r="L21" s="737">
        <f aca="true" t="shared" si="4" ref="L21">K21+I21+G21</f>
        <v>0</v>
      </c>
      <c r="M21" s="169"/>
      <c r="N21" s="738"/>
      <c r="O21" s="739"/>
      <c r="P21" s="740"/>
      <c r="Q21" s="169"/>
      <c r="R21" s="169"/>
    </row>
    <row r="22" spans="1:16" s="6" customFormat="1" ht="15.75" customHeight="1">
      <c r="A22" s="619"/>
      <c r="B22" s="741" t="s">
        <v>286</v>
      </c>
      <c r="C22" s="742" t="s">
        <v>81</v>
      </c>
      <c r="D22" s="743">
        <v>1.1</v>
      </c>
      <c r="E22" s="663">
        <f>D22*E21</f>
        <v>1675.3000000000002</v>
      </c>
      <c r="F22" s="744">
        <f>N22/$L$4</f>
        <v>0</v>
      </c>
      <c r="G22" s="745">
        <f>E22*F22</f>
        <v>0</v>
      </c>
      <c r="H22" s="744">
        <f aca="true" t="shared" si="5" ref="H22:H25">O22/$L$4</f>
        <v>0</v>
      </c>
      <c r="I22" s="663"/>
      <c r="J22" s="744">
        <f>P22/$L$4</f>
        <v>0</v>
      </c>
      <c r="K22" s="663">
        <f>J22*E22</f>
        <v>0</v>
      </c>
      <c r="L22" s="747">
        <f>G22+I22+K22</f>
        <v>0</v>
      </c>
      <c r="N22" s="748"/>
      <c r="O22" s="749"/>
      <c r="P22" s="750"/>
    </row>
    <row r="23" spans="1:16" s="6" customFormat="1" ht="15.75" customHeight="1">
      <c r="A23" s="619"/>
      <c r="B23" s="741" t="s">
        <v>243</v>
      </c>
      <c r="C23" s="742" t="s">
        <v>75</v>
      </c>
      <c r="D23" s="752">
        <v>0.45</v>
      </c>
      <c r="E23" s="663">
        <f>D23*E21</f>
        <v>685.35</v>
      </c>
      <c r="F23" s="744">
        <f aca="true" t="shared" si="6" ref="F23:F25">N23/$L$4</f>
        <v>0</v>
      </c>
      <c r="G23" s="745">
        <f aca="true" t="shared" si="7" ref="G23:G25">E23*F23</f>
        <v>0</v>
      </c>
      <c r="H23" s="744">
        <f t="shared" si="5"/>
        <v>0</v>
      </c>
      <c r="I23" s="663"/>
      <c r="J23" s="744">
        <f aca="true" t="shared" si="8" ref="J23:J25">P23/$L$4</f>
        <v>0</v>
      </c>
      <c r="K23" s="663"/>
      <c r="L23" s="747">
        <f aca="true" t="shared" si="9" ref="L23:L25">G23+I23+K23</f>
        <v>0</v>
      </c>
      <c r="N23" s="748"/>
      <c r="O23" s="749"/>
      <c r="P23" s="750"/>
    </row>
    <row r="24" spans="1:16" s="6" customFormat="1" ht="15.75" customHeight="1">
      <c r="A24" s="619"/>
      <c r="B24" s="741" t="s">
        <v>287</v>
      </c>
      <c r="C24" s="742" t="s">
        <v>81</v>
      </c>
      <c r="D24" s="752">
        <v>1.05</v>
      </c>
      <c r="E24" s="663">
        <f>D24*E21</f>
        <v>1599.15</v>
      </c>
      <c r="F24" s="744">
        <f aca="true" t="shared" si="10" ref="F24">N24/$L$4</f>
        <v>0</v>
      </c>
      <c r="G24" s="745">
        <f aca="true" t="shared" si="11" ref="G24">E24*F24</f>
        <v>0</v>
      </c>
      <c r="H24" s="744">
        <f aca="true" t="shared" si="12" ref="H24">O24/$L$4</f>
        <v>0</v>
      </c>
      <c r="I24" s="663"/>
      <c r="J24" s="744">
        <f aca="true" t="shared" si="13" ref="J24">P24/$L$4</f>
        <v>0</v>
      </c>
      <c r="K24" s="663"/>
      <c r="L24" s="747">
        <f aca="true" t="shared" si="14" ref="L24">G24+I24+K24</f>
        <v>0</v>
      </c>
      <c r="N24" s="748"/>
      <c r="O24" s="749"/>
      <c r="P24" s="750"/>
    </row>
    <row r="25" spans="1:16" s="6" customFormat="1" ht="15.75" customHeight="1" thickBot="1">
      <c r="A25" s="755"/>
      <c r="B25" s="756" t="s">
        <v>242</v>
      </c>
      <c r="C25" s="757"/>
      <c r="D25" s="758">
        <v>1</v>
      </c>
      <c r="E25" s="759">
        <f>D25*E21</f>
        <v>1523</v>
      </c>
      <c r="F25" s="760">
        <f t="shared" si="6"/>
        <v>0</v>
      </c>
      <c r="G25" s="761">
        <f t="shared" si="7"/>
        <v>0</v>
      </c>
      <c r="H25" s="760">
        <f t="shared" si="5"/>
        <v>0</v>
      </c>
      <c r="I25" s="759"/>
      <c r="J25" s="760">
        <f t="shared" si="8"/>
        <v>0</v>
      </c>
      <c r="K25" s="759"/>
      <c r="L25" s="762">
        <f t="shared" si="9"/>
        <v>0</v>
      </c>
      <c r="N25" s="766"/>
      <c r="O25" s="764"/>
      <c r="P25" s="765"/>
    </row>
    <row r="26" spans="1:18" ht="24.75" customHeight="1">
      <c r="A26" s="730">
        <v>5</v>
      </c>
      <c r="B26" s="731" t="s">
        <v>244</v>
      </c>
      <c r="C26" s="767" t="s">
        <v>81</v>
      </c>
      <c r="D26" s="733"/>
      <c r="E26" s="734">
        <v>472</v>
      </c>
      <c r="F26" s="735"/>
      <c r="G26" s="736"/>
      <c r="H26" s="735"/>
      <c r="I26" s="736"/>
      <c r="J26" s="735"/>
      <c r="K26" s="736"/>
      <c r="L26" s="737"/>
      <c r="M26" s="768"/>
      <c r="N26" s="738"/>
      <c r="O26" s="739"/>
      <c r="P26" s="769"/>
      <c r="Q26" s="169"/>
      <c r="R26" s="169"/>
    </row>
    <row r="27" spans="1:18" ht="15.75">
      <c r="A27" s="619"/>
      <c r="B27" s="770" t="s">
        <v>245</v>
      </c>
      <c r="C27" s="742" t="s">
        <v>75</v>
      </c>
      <c r="D27" s="752">
        <v>0.2</v>
      </c>
      <c r="E27" s="771">
        <f>D27*E26</f>
        <v>94.4</v>
      </c>
      <c r="F27" s="744">
        <f>N27/$L$4</f>
        <v>0</v>
      </c>
      <c r="G27" s="745">
        <f>F27*E27</f>
        <v>0</v>
      </c>
      <c r="H27" s="744">
        <f>O27/$L$4</f>
        <v>0</v>
      </c>
      <c r="I27" s="745">
        <f>H27*E27</f>
        <v>0</v>
      </c>
      <c r="J27" s="744">
        <f>P27/$L$4</f>
        <v>0</v>
      </c>
      <c r="K27" s="745">
        <f>J27*E27</f>
        <v>0</v>
      </c>
      <c r="L27" s="747">
        <f>K27+I27+G27</f>
        <v>0</v>
      </c>
      <c r="M27" s="768"/>
      <c r="N27" s="259"/>
      <c r="O27" s="749"/>
      <c r="P27" s="750"/>
      <c r="Q27" s="169"/>
      <c r="R27" s="169"/>
    </row>
    <row r="28" spans="1:18" ht="16.2" thickBot="1">
      <c r="A28" s="772"/>
      <c r="B28" s="756" t="s">
        <v>244</v>
      </c>
      <c r="C28" s="757" t="s">
        <v>81</v>
      </c>
      <c r="D28" s="773">
        <v>1.2</v>
      </c>
      <c r="E28" s="774">
        <f>E26*D28</f>
        <v>566.4</v>
      </c>
      <c r="F28" s="760">
        <f>N28/$L$4</f>
        <v>0</v>
      </c>
      <c r="G28" s="761">
        <f>F28*E28</f>
        <v>0</v>
      </c>
      <c r="H28" s="760">
        <f>O28/$L$4</f>
        <v>0</v>
      </c>
      <c r="I28" s="761">
        <f>H28*E28</f>
        <v>0</v>
      </c>
      <c r="J28" s="760">
        <f>P28/$L$4</f>
        <v>0</v>
      </c>
      <c r="K28" s="761">
        <f>J28*E28</f>
        <v>0</v>
      </c>
      <c r="L28" s="762">
        <f>K28+I28+G28</f>
        <v>0</v>
      </c>
      <c r="M28" s="768"/>
      <c r="N28" s="775"/>
      <c r="O28" s="764"/>
      <c r="P28" s="765"/>
      <c r="Q28" s="169"/>
      <c r="R28" s="169"/>
    </row>
    <row r="29" spans="1:18" ht="24.75" customHeight="1">
      <c r="A29" s="730">
        <v>6</v>
      </c>
      <c r="B29" s="731" t="s">
        <v>246</v>
      </c>
      <c r="C29" s="767"/>
      <c r="D29" s="733"/>
      <c r="E29" s="734"/>
      <c r="F29" s="735"/>
      <c r="G29" s="736"/>
      <c r="H29" s="735"/>
      <c r="I29" s="736"/>
      <c r="J29" s="735"/>
      <c r="K29" s="736"/>
      <c r="L29" s="737"/>
      <c r="M29" s="768"/>
      <c r="N29" s="738"/>
      <c r="O29" s="739"/>
      <c r="P29" s="769"/>
      <c r="Q29" s="169"/>
      <c r="R29" s="169"/>
    </row>
    <row r="30" spans="1:18" ht="15.75">
      <c r="A30" s="619"/>
      <c r="B30" s="770" t="s">
        <v>281</v>
      </c>
      <c r="C30" s="751" t="s">
        <v>111</v>
      </c>
      <c r="D30" s="752"/>
      <c r="E30" s="771">
        <v>109</v>
      </c>
      <c r="F30" s="744">
        <f aca="true" t="shared" si="15" ref="F30:F35">N30/$L$4</f>
        <v>0</v>
      </c>
      <c r="G30" s="745">
        <f aca="true" t="shared" si="16" ref="G30:G38">F30*E30</f>
        <v>0</v>
      </c>
      <c r="H30" s="744">
        <f aca="true" t="shared" si="17" ref="H30:H35">O30/$L$4</f>
        <v>0</v>
      </c>
      <c r="I30" s="745">
        <f aca="true" t="shared" si="18" ref="I30:I38">H30*E30</f>
        <v>0</v>
      </c>
      <c r="J30" s="744">
        <f aca="true" t="shared" si="19" ref="J30:J35">P30/$L$4</f>
        <v>0</v>
      </c>
      <c r="K30" s="745">
        <f aca="true" t="shared" si="20" ref="K30:K38">J30*E30</f>
        <v>0</v>
      </c>
      <c r="L30" s="747">
        <f aca="true" t="shared" si="21" ref="L30:L37">K30+I30+G30</f>
        <v>0</v>
      </c>
      <c r="M30" s="768"/>
      <c r="N30" s="259"/>
      <c r="O30" s="749"/>
      <c r="P30" s="750"/>
      <c r="Q30" s="169"/>
      <c r="R30" s="169"/>
    </row>
    <row r="31" spans="1:18" ht="15.75">
      <c r="A31" s="619"/>
      <c r="B31" s="770" t="s">
        <v>247</v>
      </c>
      <c r="C31" s="751" t="s">
        <v>111</v>
      </c>
      <c r="D31" s="752"/>
      <c r="E31" s="771">
        <v>176.3</v>
      </c>
      <c r="F31" s="744">
        <f t="shared" si="15"/>
        <v>0</v>
      </c>
      <c r="G31" s="745">
        <f t="shared" si="16"/>
        <v>0</v>
      </c>
      <c r="H31" s="744">
        <f t="shared" si="17"/>
        <v>0</v>
      </c>
      <c r="I31" s="745">
        <f aca="true" t="shared" si="22" ref="I31:I33">H31*E31</f>
        <v>0</v>
      </c>
      <c r="J31" s="744">
        <f t="shared" si="19"/>
        <v>0</v>
      </c>
      <c r="K31" s="745">
        <f t="shared" si="20"/>
        <v>0</v>
      </c>
      <c r="L31" s="747">
        <f t="shared" si="21"/>
        <v>0</v>
      </c>
      <c r="M31" s="768"/>
      <c r="N31" s="259"/>
      <c r="O31" s="749"/>
      <c r="P31" s="750"/>
      <c r="Q31" s="169"/>
      <c r="R31" s="169"/>
    </row>
    <row r="32" spans="1:18" ht="15.75">
      <c r="A32" s="619"/>
      <c r="B32" s="770" t="s">
        <v>284</v>
      </c>
      <c r="C32" s="751" t="s">
        <v>56</v>
      </c>
      <c r="D32" s="752"/>
      <c r="E32" s="771">
        <v>1</v>
      </c>
      <c r="F32" s="744">
        <f t="shared" si="15"/>
        <v>0</v>
      </c>
      <c r="G32" s="745">
        <f t="shared" si="16"/>
        <v>0</v>
      </c>
      <c r="H32" s="744">
        <f t="shared" si="17"/>
        <v>0</v>
      </c>
      <c r="I32" s="745">
        <f t="shared" si="22"/>
        <v>0</v>
      </c>
      <c r="J32" s="744">
        <f t="shared" si="19"/>
        <v>0</v>
      </c>
      <c r="K32" s="745">
        <f t="shared" si="20"/>
        <v>0</v>
      </c>
      <c r="L32" s="747">
        <f t="shared" si="21"/>
        <v>0</v>
      </c>
      <c r="M32" s="768"/>
      <c r="N32" s="259"/>
      <c r="O32" s="749"/>
      <c r="P32" s="750"/>
      <c r="Q32" s="169"/>
      <c r="R32" s="169"/>
    </row>
    <row r="33" spans="1:18" ht="15.75">
      <c r="A33" s="619"/>
      <c r="B33" s="770" t="s">
        <v>283</v>
      </c>
      <c r="C33" s="751" t="s">
        <v>111</v>
      </c>
      <c r="D33" s="752"/>
      <c r="E33" s="771">
        <v>50</v>
      </c>
      <c r="F33" s="744">
        <f t="shared" si="15"/>
        <v>0</v>
      </c>
      <c r="G33" s="745">
        <f t="shared" si="16"/>
        <v>0</v>
      </c>
      <c r="H33" s="744">
        <f t="shared" si="17"/>
        <v>0</v>
      </c>
      <c r="I33" s="745">
        <f t="shared" si="22"/>
        <v>0</v>
      </c>
      <c r="J33" s="744">
        <f t="shared" si="19"/>
        <v>0</v>
      </c>
      <c r="K33" s="745">
        <f t="shared" si="20"/>
        <v>0</v>
      </c>
      <c r="L33" s="747">
        <f t="shared" si="21"/>
        <v>0</v>
      </c>
      <c r="M33" s="768"/>
      <c r="N33" s="259"/>
      <c r="O33" s="749"/>
      <c r="P33" s="750"/>
      <c r="Q33" s="169"/>
      <c r="R33" s="169"/>
    </row>
    <row r="34" spans="1:18" ht="15.75">
      <c r="A34" s="619"/>
      <c r="B34" s="770" t="s">
        <v>248</v>
      </c>
      <c r="C34" s="751" t="s">
        <v>73</v>
      </c>
      <c r="D34" s="752"/>
      <c r="E34" s="771">
        <v>2</v>
      </c>
      <c r="F34" s="744">
        <f t="shared" si="15"/>
        <v>0</v>
      </c>
      <c r="G34" s="745">
        <f>F34*E34</f>
        <v>0</v>
      </c>
      <c r="H34" s="744">
        <f t="shared" si="17"/>
        <v>0</v>
      </c>
      <c r="I34" s="745">
        <f>H34*E34</f>
        <v>0</v>
      </c>
      <c r="J34" s="744">
        <f t="shared" si="19"/>
        <v>0</v>
      </c>
      <c r="K34" s="745">
        <f>J34*E34</f>
        <v>0</v>
      </c>
      <c r="L34" s="747">
        <f t="shared" si="21"/>
        <v>0</v>
      </c>
      <c r="M34" s="768"/>
      <c r="N34" s="259"/>
      <c r="O34" s="749"/>
      <c r="P34" s="750"/>
      <c r="Q34" s="169"/>
      <c r="R34" s="169"/>
    </row>
    <row r="35" spans="1:18" ht="15.75">
      <c r="A35" s="619"/>
      <c r="B35" s="770" t="s">
        <v>249</v>
      </c>
      <c r="C35" s="751" t="s">
        <v>73</v>
      </c>
      <c r="D35" s="752"/>
      <c r="E35" s="771">
        <v>8</v>
      </c>
      <c r="F35" s="744">
        <f t="shared" si="15"/>
        <v>0</v>
      </c>
      <c r="G35" s="745">
        <f>F35*E35</f>
        <v>0</v>
      </c>
      <c r="H35" s="744">
        <f t="shared" si="17"/>
        <v>0</v>
      </c>
      <c r="I35" s="745">
        <f>H35*E35</f>
        <v>0</v>
      </c>
      <c r="J35" s="744">
        <f t="shared" si="19"/>
        <v>0</v>
      </c>
      <c r="K35" s="745">
        <f>J35*E35</f>
        <v>0</v>
      </c>
      <c r="L35" s="747">
        <f t="shared" si="21"/>
        <v>0</v>
      </c>
      <c r="M35" s="768"/>
      <c r="N35" s="259"/>
      <c r="O35" s="749"/>
      <c r="P35" s="750"/>
      <c r="Q35" s="169"/>
      <c r="R35" s="169"/>
    </row>
    <row r="36" spans="1:18" ht="15.75">
      <c r="A36" s="776"/>
      <c r="B36" s="741" t="s">
        <v>282</v>
      </c>
      <c r="C36" s="751" t="s">
        <v>73</v>
      </c>
      <c r="D36" s="752"/>
      <c r="E36" s="771">
        <v>15</v>
      </c>
      <c r="F36" s="744">
        <f>N36/$L$4</f>
        <v>0</v>
      </c>
      <c r="G36" s="745">
        <f aca="true" t="shared" si="23" ref="G36:G37">F36*E36</f>
        <v>0</v>
      </c>
      <c r="H36" s="744">
        <f>O36/$L$4</f>
        <v>0</v>
      </c>
      <c r="I36" s="745">
        <f aca="true" t="shared" si="24" ref="I36:I37">H36*E36</f>
        <v>0</v>
      </c>
      <c r="J36" s="744">
        <f>P36/$L$4</f>
        <v>0</v>
      </c>
      <c r="K36" s="745">
        <f aca="true" t="shared" si="25" ref="K36:K37">J36*E36</f>
        <v>0</v>
      </c>
      <c r="L36" s="747">
        <f t="shared" si="21"/>
        <v>0</v>
      </c>
      <c r="M36" s="768"/>
      <c r="N36" s="259"/>
      <c r="O36" s="749"/>
      <c r="P36" s="750"/>
      <c r="Q36" s="169"/>
      <c r="R36" s="169"/>
    </row>
    <row r="37" spans="1:18" ht="15.75">
      <c r="A37" s="776"/>
      <c r="B37" s="741" t="s">
        <v>250</v>
      </c>
      <c r="C37" s="751" t="s">
        <v>73</v>
      </c>
      <c r="D37" s="752"/>
      <c r="E37" s="771">
        <v>4</v>
      </c>
      <c r="F37" s="744">
        <f>N37/$L$4</f>
        <v>0</v>
      </c>
      <c r="G37" s="745">
        <f t="shared" si="23"/>
        <v>0</v>
      </c>
      <c r="H37" s="744">
        <f>O37/$L$4</f>
        <v>0</v>
      </c>
      <c r="I37" s="745">
        <f t="shared" si="24"/>
        <v>0</v>
      </c>
      <c r="J37" s="744">
        <f>P37/$L$4</f>
        <v>0</v>
      </c>
      <c r="K37" s="745">
        <f t="shared" si="25"/>
        <v>0</v>
      </c>
      <c r="L37" s="747">
        <f t="shared" si="21"/>
        <v>0</v>
      </c>
      <c r="M37" s="768"/>
      <c r="N37" s="259"/>
      <c r="O37" s="749"/>
      <c r="P37" s="750"/>
      <c r="Q37" s="169"/>
      <c r="R37" s="169"/>
    </row>
    <row r="38" spans="1:18" ht="16.2" thickBot="1">
      <c r="A38" s="702"/>
      <c r="B38" s="777" t="s">
        <v>246</v>
      </c>
      <c r="C38" s="778" t="s">
        <v>73</v>
      </c>
      <c r="D38" s="779"/>
      <c r="E38" s="780">
        <v>1</v>
      </c>
      <c r="F38" s="781">
        <f>N38/L4</f>
        <v>0</v>
      </c>
      <c r="G38" s="782">
        <f t="shared" si="16"/>
        <v>0</v>
      </c>
      <c r="H38" s="781">
        <f>O38/$L$4</f>
        <v>0</v>
      </c>
      <c r="I38" s="782">
        <f t="shared" si="18"/>
        <v>0</v>
      </c>
      <c r="J38" s="781">
        <f>P38/$L$4</f>
        <v>0</v>
      </c>
      <c r="K38" s="782">
        <f t="shared" si="20"/>
        <v>0</v>
      </c>
      <c r="L38" s="783">
        <f>K38+I38+G38</f>
        <v>0</v>
      </c>
      <c r="M38" s="768"/>
      <c r="N38" s="775"/>
      <c r="O38" s="764"/>
      <c r="P38" s="765"/>
      <c r="Q38" s="169"/>
      <c r="R38" s="169"/>
    </row>
    <row r="39" spans="1:16" s="12" customFormat="1" ht="16.2" thickBot="1">
      <c r="A39" s="61"/>
      <c r="B39" s="61"/>
      <c r="C39" s="61"/>
      <c r="D39" s="6"/>
      <c r="E39" s="6"/>
      <c r="F39" s="6"/>
      <c r="G39" s="444"/>
      <c r="H39" s="30"/>
      <c r="I39" s="31"/>
      <c r="J39" s="32"/>
      <c r="K39" s="31"/>
      <c r="L39" s="81"/>
      <c r="N39" s="528"/>
      <c r="O39" s="784"/>
      <c r="P39" s="169"/>
    </row>
    <row r="40" spans="1:16" s="12" customFormat="1" ht="16.2" thickBot="1">
      <c r="A40" s="61"/>
      <c r="B40" s="61"/>
      <c r="C40" s="785"/>
      <c r="D40" s="1"/>
      <c r="E40" s="700"/>
      <c r="F40" s="1"/>
      <c r="G40" s="451"/>
      <c r="H40" s="19"/>
      <c r="I40" s="625" t="s">
        <v>56</v>
      </c>
      <c r="J40" s="21"/>
      <c r="K40" s="20"/>
      <c r="L40" s="546">
        <f>SUM(L11:L39)</f>
        <v>0</v>
      </c>
      <c r="N40" s="527"/>
      <c r="O40" s="784"/>
      <c r="P40" s="169"/>
    </row>
    <row r="41" spans="1:16" s="12" customFormat="1" ht="16.2" thickBot="1">
      <c r="A41" s="61"/>
      <c r="B41" s="61"/>
      <c r="C41" s="785"/>
      <c r="D41" s="1"/>
      <c r="E41" s="700"/>
      <c r="F41" s="1"/>
      <c r="G41" s="451"/>
      <c r="H41" s="33"/>
      <c r="I41" s="34"/>
      <c r="J41" s="35"/>
      <c r="K41" s="34"/>
      <c r="L41" s="548"/>
      <c r="N41" s="527"/>
      <c r="O41" s="784"/>
      <c r="P41" s="169"/>
    </row>
    <row r="42" spans="1:16" s="12" customFormat="1" ht="15.75">
      <c r="A42" s="70"/>
      <c r="B42" s="62"/>
      <c r="C42" s="786"/>
      <c r="D42" s="8"/>
      <c r="G42" s="13"/>
      <c r="H42" s="22"/>
      <c r="I42" s="44" t="s">
        <v>68</v>
      </c>
      <c r="J42" s="24">
        <v>0.08</v>
      </c>
      <c r="K42" s="25"/>
      <c r="L42" s="549">
        <f>L40*J42</f>
        <v>0</v>
      </c>
      <c r="N42" s="787"/>
      <c r="O42" s="784"/>
      <c r="P42" s="169"/>
    </row>
    <row r="43" spans="1:16" s="12" customFormat="1" ht="16.2" thickBot="1">
      <c r="A43" s="70"/>
      <c r="B43" s="62"/>
      <c r="C43" s="786"/>
      <c r="D43" s="8"/>
      <c r="G43" s="13"/>
      <c r="H43" s="16"/>
      <c r="I43" s="42" t="s">
        <v>56</v>
      </c>
      <c r="J43" s="26"/>
      <c r="K43" s="43"/>
      <c r="L43" s="550">
        <f>L40+L42</f>
        <v>0</v>
      </c>
      <c r="N43" s="787"/>
      <c r="O43" s="784"/>
      <c r="P43" s="169"/>
    </row>
    <row r="44" spans="1:16" s="12" customFormat="1" ht="16.2" thickBot="1">
      <c r="A44" s="70"/>
      <c r="B44" s="62"/>
      <c r="C44" s="786"/>
      <c r="D44" s="8"/>
      <c r="G44" s="13"/>
      <c r="H44" s="36"/>
      <c r="I44" s="37"/>
      <c r="J44" s="38"/>
      <c r="K44" s="39"/>
      <c r="L44" s="551"/>
      <c r="N44" s="787"/>
      <c r="O44" s="788"/>
      <c r="P44" s="169"/>
    </row>
    <row r="45" spans="1:16" s="12" customFormat="1" ht="15.75">
      <c r="A45" s="70"/>
      <c r="B45" s="62"/>
      <c r="C45" s="786"/>
      <c r="D45" s="8"/>
      <c r="G45" s="13"/>
      <c r="H45" s="27"/>
      <c r="I45" s="44" t="s">
        <v>69</v>
      </c>
      <c r="J45" s="24">
        <v>0.08</v>
      </c>
      <c r="K45" s="25"/>
      <c r="L45" s="549">
        <f>L43*J45</f>
        <v>0</v>
      </c>
      <c r="N45" s="787"/>
      <c r="O45" s="784"/>
      <c r="P45" s="169"/>
    </row>
    <row r="46" spans="1:16" s="12" customFormat="1" ht="16.2" thickBot="1">
      <c r="A46" s="70"/>
      <c r="B46" s="62"/>
      <c r="C46" s="786"/>
      <c r="D46" s="8"/>
      <c r="G46" s="13"/>
      <c r="H46" s="16"/>
      <c r="I46" s="42" t="s">
        <v>56</v>
      </c>
      <c r="J46" s="28"/>
      <c r="K46" s="43"/>
      <c r="L46" s="550">
        <f>L43+L45</f>
        <v>0</v>
      </c>
      <c r="N46" s="787"/>
      <c r="O46" s="784"/>
      <c r="P46" s="169"/>
    </row>
    <row r="47" spans="1:16" s="12" customFormat="1" ht="16.2" thickBot="1">
      <c r="A47" s="70"/>
      <c r="B47" s="62"/>
      <c r="C47" s="786"/>
      <c r="D47" s="8"/>
      <c r="G47" s="13"/>
      <c r="H47" s="36"/>
      <c r="I47" s="37"/>
      <c r="J47" s="40"/>
      <c r="K47" s="39"/>
      <c r="L47" s="551"/>
      <c r="N47" s="787"/>
      <c r="O47" s="784"/>
      <c r="P47" s="169"/>
    </row>
    <row r="48" spans="1:16" s="12" customFormat="1" ht="15.75">
      <c r="A48" s="70"/>
      <c r="B48" s="62"/>
      <c r="C48" s="786"/>
      <c r="D48" s="8"/>
      <c r="G48" s="13"/>
      <c r="H48" s="27"/>
      <c r="I48" s="44" t="s">
        <v>251</v>
      </c>
      <c r="J48" s="24">
        <v>0</v>
      </c>
      <c r="K48" s="25"/>
      <c r="L48" s="549">
        <f>L46*J48</f>
        <v>0</v>
      </c>
      <c r="N48" s="787"/>
      <c r="O48" s="784"/>
      <c r="P48" s="169"/>
    </row>
    <row r="49" spans="1:16" s="8" customFormat="1" ht="16.2" thickBot="1">
      <c r="A49" s="70"/>
      <c r="B49" s="62"/>
      <c r="C49" s="786"/>
      <c r="E49" s="12"/>
      <c r="F49" s="12"/>
      <c r="G49" s="13"/>
      <c r="H49" s="16"/>
      <c r="I49" s="42" t="s">
        <v>56</v>
      </c>
      <c r="J49" s="29"/>
      <c r="K49" s="43"/>
      <c r="L49" s="550">
        <f>L46+L48</f>
        <v>0</v>
      </c>
      <c r="N49" s="787"/>
      <c r="O49" s="784"/>
      <c r="P49" s="169"/>
    </row>
    <row r="50" spans="1:16" s="8" customFormat="1" ht="16.2" thickBot="1">
      <c r="A50" s="70"/>
      <c r="B50" s="62"/>
      <c r="C50" s="786"/>
      <c r="E50" s="12"/>
      <c r="F50" s="12"/>
      <c r="G50" s="13"/>
      <c r="H50" s="36"/>
      <c r="I50" s="37"/>
      <c r="J50" s="41"/>
      <c r="K50" s="39"/>
      <c r="L50" s="551"/>
      <c r="N50" s="787"/>
      <c r="O50" s="784"/>
      <c r="P50" s="169"/>
    </row>
    <row r="51" spans="1:16" s="6" customFormat="1" ht="15.75">
      <c r="A51" s="70"/>
      <c r="B51" s="62"/>
      <c r="C51" s="786"/>
      <c r="D51" s="8"/>
      <c r="E51" s="12"/>
      <c r="F51" s="12"/>
      <c r="G51" s="13"/>
      <c r="H51" s="27"/>
      <c r="I51" s="23" t="s">
        <v>71</v>
      </c>
      <c r="J51" s="24">
        <v>0.18</v>
      </c>
      <c r="K51" s="25"/>
      <c r="L51" s="552">
        <f>L49*J51</f>
        <v>0</v>
      </c>
      <c r="N51" s="787"/>
      <c r="O51" s="784"/>
      <c r="P51" s="169"/>
    </row>
    <row r="52" spans="1:16" s="6" customFormat="1" ht="16.2" thickBot="1">
      <c r="A52" s="70"/>
      <c r="B52" s="62"/>
      <c r="C52" s="786"/>
      <c r="D52" s="8"/>
      <c r="E52" s="12"/>
      <c r="F52" s="12"/>
      <c r="G52" s="13"/>
      <c r="H52" s="16"/>
      <c r="I52" s="17" t="s">
        <v>56</v>
      </c>
      <c r="J52" s="26" t="s">
        <v>12</v>
      </c>
      <c r="K52" s="18"/>
      <c r="L52" s="553">
        <f>L49+L51</f>
        <v>0</v>
      </c>
      <c r="N52" s="787"/>
      <c r="O52" s="784"/>
      <c r="P52" s="169"/>
    </row>
    <row r="53" spans="1:18" ht="17.4">
      <c r="A53" s="169"/>
      <c r="B53" s="169"/>
      <c r="C53" s="169"/>
      <c r="D53" s="867"/>
      <c r="E53" s="867"/>
      <c r="F53" s="867"/>
      <c r="G53" s="169"/>
      <c r="H53" s="169"/>
      <c r="I53" s="169"/>
      <c r="J53" s="169"/>
      <c r="K53" s="169"/>
      <c r="L53" s="169"/>
      <c r="M53" s="169"/>
      <c r="N53" s="789"/>
      <c r="O53" s="784"/>
      <c r="P53" s="169"/>
      <c r="Q53" s="169"/>
      <c r="R53" s="169"/>
    </row>
    <row r="54" spans="1:18" ht="15.7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789"/>
      <c r="O54" s="784"/>
      <c r="P54" s="169"/>
      <c r="Q54" s="169"/>
      <c r="R54" s="169"/>
    </row>
    <row r="55" spans="1:18" ht="15.7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789"/>
      <c r="O55" s="784"/>
      <c r="P55" s="169"/>
      <c r="Q55" s="169"/>
      <c r="R55" s="169"/>
    </row>
    <row r="56" spans="1:18" ht="15.7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789"/>
      <c r="O56" s="784"/>
      <c r="P56" s="169"/>
      <c r="Q56" s="169"/>
      <c r="R56" s="169"/>
    </row>
    <row r="57" spans="1:18" ht="15.7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789"/>
      <c r="O57" s="784"/>
      <c r="P57" s="169"/>
      <c r="Q57" s="169"/>
      <c r="R57" s="169"/>
    </row>
    <row r="58" spans="1:18" ht="15.7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789"/>
      <c r="O58" s="784"/>
      <c r="P58" s="169"/>
      <c r="Q58" s="169"/>
      <c r="R58" s="169"/>
    </row>
    <row r="59" spans="1:18" ht="15.7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789"/>
      <c r="O59" s="784"/>
      <c r="P59" s="169"/>
      <c r="Q59" s="169"/>
      <c r="R59" s="169"/>
    </row>
    <row r="60" spans="1:18" ht="15.7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789"/>
      <c r="O60" s="784"/>
      <c r="P60" s="169"/>
      <c r="Q60" s="169"/>
      <c r="R60" s="169"/>
    </row>
    <row r="61" spans="1:18" ht="15.7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789"/>
      <c r="O61" s="784"/>
      <c r="P61" s="169"/>
      <c r="Q61" s="169"/>
      <c r="R61" s="169"/>
    </row>
  </sheetData>
  <mergeCells count="15">
    <mergeCell ref="A7:A8"/>
    <mergeCell ref="B7:B8"/>
    <mergeCell ref="C7:C8"/>
    <mergeCell ref="D7:E7"/>
    <mergeCell ref="F7:G7"/>
    <mergeCell ref="D1:F1"/>
    <mergeCell ref="A2:D2"/>
    <mergeCell ref="J2:L2"/>
    <mergeCell ref="A3:B3"/>
    <mergeCell ref="D4:G4"/>
    <mergeCell ref="H7:I7"/>
    <mergeCell ref="J7:J8"/>
    <mergeCell ref="K7:K8"/>
    <mergeCell ref="L7:L8"/>
    <mergeCell ref="D53:F53"/>
  </mergeCells>
  <printOptions/>
  <pageMargins left="0.7500000000000001" right="0.7500000000000001" top="1" bottom="1" header="0.5" footer="0.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E20"/>
  <sheetViews>
    <sheetView workbookViewId="0" topLeftCell="A1">
      <selection activeCell="C9" sqref="C9:C10"/>
    </sheetView>
  </sheetViews>
  <sheetFormatPr defaultColWidth="11.00390625" defaultRowHeight="15.75"/>
  <cols>
    <col min="1" max="1" width="3.50390625" style="0" bestFit="1" customWidth="1"/>
    <col min="2" max="2" width="42.875" style="0" customWidth="1"/>
    <col min="3" max="3" width="39.875" style="0" customWidth="1"/>
    <col min="4" max="4" width="23.875" style="0" customWidth="1"/>
  </cols>
  <sheetData>
    <row r="2" spans="1:3" ht="18" customHeight="1">
      <c r="A2" s="817" t="str">
        <f>TOTAL!A2</f>
        <v>სითი მოლი საბურთალო</v>
      </c>
      <c r="B2" s="817"/>
      <c r="C2" s="817"/>
    </row>
    <row r="3" spans="1:3" ht="17.4">
      <c r="A3" s="63"/>
      <c r="B3" s="63"/>
      <c r="C3" s="63"/>
    </row>
    <row r="4" spans="1:3" ht="18">
      <c r="A4" s="823" t="s">
        <v>21</v>
      </c>
      <c r="B4" s="823"/>
      <c r="C4" s="824"/>
    </row>
    <row r="5" spans="1:3" ht="17.4">
      <c r="A5" s="825" t="s">
        <v>19</v>
      </c>
      <c r="B5" s="825"/>
      <c r="C5" s="825"/>
    </row>
    <row r="6" spans="1:3" ht="18" thickBot="1">
      <c r="A6" s="64"/>
      <c r="B6" s="64"/>
      <c r="C6" s="64"/>
    </row>
    <row r="7" spans="1:3" s="72" customFormat="1" ht="15">
      <c r="A7" s="199"/>
      <c r="B7" s="195" t="s">
        <v>20</v>
      </c>
      <c r="C7" s="80" t="s">
        <v>16</v>
      </c>
    </row>
    <row r="8" spans="1:3" s="72" customFormat="1" ht="16.8" thickBot="1">
      <c r="A8" s="424">
        <v>1</v>
      </c>
      <c r="B8" s="425">
        <v>2</v>
      </c>
      <c r="C8" s="426">
        <v>3</v>
      </c>
    </row>
    <row r="9" spans="1:4" s="74" customFormat="1" ht="15">
      <c r="A9" s="200">
        <v>1</v>
      </c>
      <c r="B9" s="196" t="s">
        <v>24</v>
      </c>
      <c r="C9" s="254"/>
      <c r="D9" s="73"/>
    </row>
    <row r="10" spans="1:4" s="74" customFormat="1" ht="15">
      <c r="A10" s="200">
        <v>2</v>
      </c>
      <c r="B10" s="196" t="s">
        <v>23</v>
      </c>
      <c r="C10" s="254"/>
      <c r="D10" s="73"/>
    </row>
    <row r="11" spans="1:4" s="74" customFormat="1" ht="15.75" thickBot="1">
      <c r="A11" s="429"/>
      <c r="B11" s="430"/>
      <c r="C11" s="431"/>
      <c r="D11" s="73"/>
    </row>
    <row r="12" spans="1:4" s="74" customFormat="1" ht="15.75">
      <c r="A12" s="427"/>
      <c r="B12" s="423" t="s">
        <v>15</v>
      </c>
      <c r="C12" s="428">
        <f>SUM(C9:C11)</f>
        <v>0</v>
      </c>
      <c r="D12" s="75"/>
    </row>
    <row r="13" spans="1:5" s="72" customFormat="1" ht="15.75" thickBot="1">
      <c r="A13" s="435"/>
      <c r="B13" s="436"/>
      <c r="C13" s="437"/>
      <c r="D13" s="76"/>
      <c r="E13" s="77"/>
    </row>
    <row r="14" spans="1:5" s="78" customFormat="1" ht="17.4">
      <c r="A14" s="432"/>
      <c r="B14" s="433"/>
      <c r="C14" s="434">
        <f>TOTAL!C24</f>
        <v>2.45</v>
      </c>
      <c r="E14" s="79"/>
    </row>
    <row r="15" spans="1:5" s="78" customFormat="1" ht="18" thickBot="1">
      <c r="A15" s="439"/>
      <c r="B15" s="440"/>
      <c r="C15" s="441"/>
      <c r="E15" s="79"/>
    </row>
    <row r="16" spans="1:4" s="74" customFormat="1" ht="15.75">
      <c r="A16" s="427"/>
      <c r="B16" s="423"/>
      <c r="C16" s="438">
        <f>C12*C14</f>
        <v>0</v>
      </c>
      <c r="D16" s="73"/>
    </row>
    <row r="17" spans="1:5" s="78" customFormat="1" ht="17.4">
      <c r="A17" s="201"/>
      <c r="B17" s="197"/>
      <c r="C17" s="193"/>
      <c r="E17" s="79"/>
    </row>
    <row r="18" spans="1:5" s="72" customFormat="1" ht="18" thickBot="1">
      <c r="A18" s="202"/>
      <c r="B18" s="198"/>
      <c r="C18" s="194"/>
      <c r="D18" s="76"/>
      <c r="E18" s="77"/>
    </row>
    <row r="20" spans="2:3" ht="15.75">
      <c r="B20" s="826" t="s">
        <v>22</v>
      </c>
      <c r="C20" s="826"/>
    </row>
  </sheetData>
  <mergeCells count="4">
    <mergeCell ref="A2:C2"/>
    <mergeCell ref="A4:C4"/>
    <mergeCell ref="A5:C5"/>
    <mergeCell ref="B20:C20"/>
  </mergeCells>
  <printOptions/>
  <pageMargins left="0.7500000000000001" right="0.7500000000000001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P74"/>
  <sheetViews>
    <sheetView showGridLines="0" zoomScale="85" zoomScaleNormal="85" zoomScalePageLayoutView="110" workbookViewId="0" topLeftCell="A25">
      <selection activeCell="C23" sqref="C23"/>
    </sheetView>
  </sheetViews>
  <sheetFormatPr defaultColWidth="8.875" defaultRowHeight="15.75" outlineLevelRow="1"/>
  <cols>
    <col min="1" max="1" width="3.50390625" style="6" bestFit="1" customWidth="1"/>
    <col min="2" max="2" width="9.875" style="6" bestFit="1" customWidth="1"/>
    <col min="3" max="3" width="45.50390625" style="6" customWidth="1"/>
    <col min="4" max="4" width="5.625" style="6" bestFit="1" customWidth="1"/>
    <col min="5" max="5" width="9.375" style="6" customWidth="1"/>
    <col min="6" max="6" width="9.375" style="444" customWidth="1"/>
    <col min="7" max="7" width="9.875" style="111" bestFit="1" customWidth="1"/>
    <col min="8" max="8" width="17.125" style="444" bestFit="1" customWidth="1"/>
    <col min="9" max="9" width="13.50390625" style="111" customWidth="1"/>
    <col min="10" max="10" width="17.125" style="444" customWidth="1"/>
    <col min="11" max="11" width="12.375" style="128" bestFit="1" customWidth="1"/>
    <col min="12" max="12" width="12.50390625" style="136" customWidth="1"/>
    <col min="13" max="13" width="9.375" style="136" customWidth="1"/>
    <col min="14" max="14" width="5.00390625" style="6" customWidth="1"/>
    <col min="15" max="15" width="9.875" style="175" bestFit="1" customWidth="1"/>
    <col min="16" max="16" width="9.50390625" style="111" customWidth="1"/>
    <col min="17" max="16384" width="8.875" style="6" customWidth="1"/>
  </cols>
  <sheetData>
    <row r="1" spans="1:16" ht="18" thickBot="1">
      <c r="A1" s="1"/>
      <c r="B1" s="2"/>
      <c r="C1" s="817" t="str">
        <f>TOTAL!A2</f>
        <v>სითი მოლი საბურთალო</v>
      </c>
      <c r="D1" s="817"/>
      <c r="E1" s="817"/>
      <c r="F1" s="451"/>
      <c r="G1" s="107"/>
      <c r="H1" s="451"/>
      <c r="I1" s="367"/>
      <c r="J1" s="190"/>
      <c r="K1" s="293"/>
      <c r="L1" s="135"/>
      <c r="M1" s="135"/>
      <c r="O1" s="171"/>
      <c r="P1" s="107"/>
    </row>
    <row r="2" spans="1:16" ht="16.2" thickBot="1">
      <c r="A2" s="836" t="s">
        <v>254</v>
      </c>
      <c r="B2" s="836"/>
      <c r="C2" s="837"/>
      <c r="D2" s="463"/>
      <c r="E2" s="1"/>
      <c r="F2" s="451"/>
      <c r="G2" s="107"/>
      <c r="H2" s="290"/>
      <c r="I2" s="838"/>
      <c r="J2" s="839"/>
      <c r="K2" s="840"/>
      <c r="L2" s="128"/>
      <c r="M2" s="128"/>
      <c r="O2" s="171"/>
      <c r="P2" s="6"/>
    </row>
    <row r="3" spans="1:16" ht="21" thickBot="1">
      <c r="A3" s="841"/>
      <c r="B3" s="841"/>
      <c r="C3" s="45"/>
      <c r="E3" s="45"/>
      <c r="F3" s="45"/>
      <c r="G3" s="108"/>
      <c r="H3" s="291"/>
      <c r="I3" s="588" t="s">
        <v>62</v>
      </c>
      <c r="J3" s="589" t="s">
        <v>63</v>
      </c>
      <c r="K3" s="590" t="s">
        <v>64</v>
      </c>
      <c r="L3" s="128"/>
      <c r="M3" s="128"/>
      <c r="O3" s="172"/>
      <c r="P3" s="6"/>
    </row>
    <row r="4" spans="1:16" ht="15.6" thickBot="1">
      <c r="A4" s="1"/>
      <c r="B4" s="2"/>
      <c r="C4" s="464"/>
      <c r="D4" s="47"/>
      <c r="E4" s="46"/>
      <c r="F4" s="46"/>
      <c r="G4" s="109"/>
      <c r="H4" s="292"/>
      <c r="I4" s="296">
        <f>K72</f>
        <v>0</v>
      </c>
      <c r="J4" s="297">
        <f>I4*K4</f>
        <v>0</v>
      </c>
      <c r="K4" s="403">
        <f>TOTAL!C24</f>
        <v>2.45</v>
      </c>
      <c r="L4" s="128"/>
      <c r="M4" s="128"/>
      <c r="O4" s="173"/>
      <c r="P4" s="6"/>
    </row>
    <row r="5" spans="1:16" ht="15.75">
      <c r="A5" s="1"/>
      <c r="B5" s="2"/>
      <c r="C5" s="1"/>
      <c r="D5" s="463"/>
      <c r="E5" s="463"/>
      <c r="F5" s="3"/>
      <c r="G5" s="110"/>
      <c r="H5" s="3"/>
      <c r="I5" s="110"/>
      <c r="J5" s="451"/>
      <c r="K5" s="127"/>
      <c r="L5" s="68"/>
      <c r="M5" s="68"/>
      <c r="O5" s="174"/>
      <c r="P5" s="6"/>
    </row>
    <row r="6" ht="10.8" thickBot="1"/>
    <row r="7" spans="1:16" ht="15.75" customHeight="1" thickBot="1">
      <c r="A7" s="842" t="s">
        <v>0</v>
      </c>
      <c r="B7" s="844" t="s">
        <v>61</v>
      </c>
      <c r="C7" s="321" t="s">
        <v>52</v>
      </c>
      <c r="D7" s="846" t="s">
        <v>53</v>
      </c>
      <c r="E7" s="838" t="s">
        <v>50</v>
      </c>
      <c r="F7" s="840"/>
      <c r="G7" s="838" t="s">
        <v>54</v>
      </c>
      <c r="H7" s="840"/>
      <c r="I7" s="838" t="s">
        <v>55</v>
      </c>
      <c r="J7" s="840"/>
      <c r="K7" s="830" t="s">
        <v>56</v>
      </c>
      <c r="L7" s="830" t="s">
        <v>57</v>
      </c>
      <c r="M7" s="830" t="s">
        <v>58</v>
      </c>
      <c r="O7" s="832" t="s">
        <v>148</v>
      </c>
      <c r="P7" s="834" t="s">
        <v>149</v>
      </c>
    </row>
    <row r="8" spans="1:16" ht="10.8" thickBot="1">
      <c r="A8" s="843"/>
      <c r="B8" s="845"/>
      <c r="C8" s="282"/>
      <c r="D8" s="847"/>
      <c r="E8" s="281" t="s">
        <v>59</v>
      </c>
      <c r="F8" s="282" t="s">
        <v>56</v>
      </c>
      <c r="G8" s="570" t="s">
        <v>60</v>
      </c>
      <c r="H8" s="282" t="s">
        <v>56</v>
      </c>
      <c r="I8" s="364" t="s">
        <v>60</v>
      </c>
      <c r="J8" s="282" t="s">
        <v>56</v>
      </c>
      <c r="K8" s="831"/>
      <c r="L8" s="831"/>
      <c r="M8" s="831"/>
      <c r="O8" s="833"/>
      <c r="P8" s="835"/>
    </row>
    <row r="9" spans="1:16" ht="10.8" thickBot="1">
      <c r="A9" s="322" t="s">
        <v>1</v>
      </c>
      <c r="B9" s="332">
        <v>2</v>
      </c>
      <c r="C9" s="280" t="s">
        <v>2</v>
      </c>
      <c r="D9" s="280" t="s">
        <v>3</v>
      </c>
      <c r="E9" s="287" t="s">
        <v>14</v>
      </c>
      <c r="F9" s="280" t="s">
        <v>4</v>
      </c>
      <c r="G9" s="287">
        <v>7</v>
      </c>
      <c r="H9" s="280" t="s">
        <v>6</v>
      </c>
      <c r="I9" s="279">
        <v>9</v>
      </c>
      <c r="J9" s="279" t="s">
        <v>9</v>
      </c>
      <c r="K9" s="279" t="s">
        <v>9</v>
      </c>
      <c r="L9" s="279" t="s">
        <v>27</v>
      </c>
      <c r="M9" s="279" t="s">
        <v>25</v>
      </c>
      <c r="O9" s="318" t="s">
        <v>18</v>
      </c>
      <c r="P9" s="274" t="s">
        <v>26</v>
      </c>
    </row>
    <row r="10" spans="1:16" ht="10.8" thickBot="1">
      <c r="A10" s="288"/>
      <c r="B10" s="54"/>
      <c r="C10" s="54"/>
      <c r="D10" s="286"/>
      <c r="E10" s="288"/>
      <c r="F10" s="54"/>
      <c r="G10" s="365"/>
      <c r="H10" s="54"/>
      <c r="I10" s="366"/>
      <c r="J10" s="288"/>
      <c r="K10" s="129"/>
      <c r="L10" s="129"/>
      <c r="M10" s="129"/>
      <c r="O10" s="177"/>
      <c r="P10" s="365"/>
    </row>
    <row r="11" spans="1:16" ht="24" thickBot="1">
      <c r="A11" s="827" t="s">
        <v>34</v>
      </c>
      <c r="B11" s="828"/>
      <c r="C11" s="828"/>
      <c r="D11" s="828"/>
      <c r="E11" s="828"/>
      <c r="F11" s="828"/>
      <c r="G11" s="828"/>
      <c r="H11" s="828"/>
      <c r="I11" s="828"/>
      <c r="J11" s="828"/>
      <c r="K11" s="828"/>
      <c r="L11" s="828"/>
      <c r="M11" s="829"/>
      <c r="P11" s="6"/>
    </row>
    <row r="12" spans="1:16" s="451" customFormat="1" ht="15.75">
      <c r="A12" s="445">
        <v>2</v>
      </c>
      <c r="B12" s="346"/>
      <c r="C12" s="48" t="s">
        <v>32</v>
      </c>
      <c r="D12" s="303" t="s">
        <v>66</v>
      </c>
      <c r="E12" s="303"/>
      <c r="F12" s="300">
        <f>SUM(F13:F14)</f>
        <v>502</v>
      </c>
      <c r="G12" s="343"/>
      <c r="H12" s="300"/>
      <c r="I12" s="343">
        <f>P12/$K$4</f>
        <v>0</v>
      </c>
      <c r="J12" s="300">
        <f>F12*I12</f>
        <v>0</v>
      </c>
      <c r="K12" s="130">
        <f>H12+J12</f>
        <v>0</v>
      </c>
      <c r="L12" s="137">
        <f>SUM(K12:K16)</f>
        <v>0</v>
      </c>
      <c r="M12" s="137">
        <f>L12/F12</f>
        <v>0</v>
      </c>
      <c r="O12" s="170"/>
      <c r="P12" s="272"/>
    </row>
    <row r="13" spans="1:16" s="451" customFormat="1" ht="15.75" outlineLevel="1">
      <c r="A13" s="90"/>
      <c r="B13" s="347"/>
      <c r="C13" s="521" t="s">
        <v>300</v>
      </c>
      <c r="D13" s="305" t="s">
        <v>66</v>
      </c>
      <c r="E13" s="96"/>
      <c r="F13" s="308">
        <v>251</v>
      </c>
      <c r="G13" s="212"/>
      <c r="H13" s="294"/>
      <c r="I13" s="212"/>
      <c r="J13" s="294"/>
      <c r="K13" s="131"/>
      <c r="L13" s="138"/>
      <c r="M13" s="138"/>
      <c r="O13" s="179"/>
      <c r="P13" s="271"/>
    </row>
    <row r="14" spans="1:16" s="451" customFormat="1" ht="15.75" outlineLevel="1">
      <c r="A14" s="90"/>
      <c r="B14" s="347"/>
      <c r="C14" s="521" t="s">
        <v>301</v>
      </c>
      <c r="D14" s="305" t="s">
        <v>66</v>
      </c>
      <c r="E14" s="96"/>
      <c r="F14" s="308">
        <v>251</v>
      </c>
      <c r="G14" s="212"/>
      <c r="H14" s="294"/>
      <c r="I14" s="212"/>
      <c r="J14" s="294"/>
      <c r="K14" s="131"/>
      <c r="L14" s="138"/>
      <c r="M14" s="138"/>
      <c r="O14" s="179"/>
      <c r="P14" s="271"/>
    </row>
    <row r="15" spans="1:16" ht="15.75">
      <c r="A15" s="91"/>
      <c r="B15" s="349"/>
      <c r="C15" s="501" t="s">
        <v>32</v>
      </c>
      <c r="D15" s="305" t="s">
        <v>66</v>
      </c>
      <c r="E15" s="412">
        <v>1.05</v>
      </c>
      <c r="F15" s="301">
        <f>E15*F12</f>
        <v>527.1</v>
      </c>
      <c r="G15" s="315">
        <f aca="true" t="shared" si="0" ref="G15:G16">O15/$K$4</f>
        <v>0</v>
      </c>
      <c r="H15" s="301">
        <f aca="true" t="shared" si="1" ref="H15:H16">F15*G15</f>
        <v>0</v>
      </c>
      <c r="I15" s="315"/>
      <c r="J15" s="301">
        <f aca="true" t="shared" si="2" ref="J15:J16">F15*I15</f>
        <v>0</v>
      </c>
      <c r="K15" s="131">
        <f aca="true" t="shared" si="3" ref="K15:K16">H15+J15</f>
        <v>0</v>
      </c>
      <c r="L15" s="139"/>
      <c r="M15" s="139"/>
      <c r="O15" s="176"/>
      <c r="P15" s="269"/>
    </row>
    <row r="16" spans="1:16" ht="10.8" thickBot="1">
      <c r="A16" s="91"/>
      <c r="B16" s="349"/>
      <c r="C16" s="501" t="s">
        <v>33</v>
      </c>
      <c r="D16" s="502"/>
      <c r="E16" s="412">
        <v>1</v>
      </c>
      <c r="F16" s="301">
        <f>E16*F12</f>
        <v>502</v>
      </c>
      <c r="G16" s="315">
        <f t="shared" si="0"/>
        <v>0</v>
      </c>
      <c r="H16" s="301">
        <f t="shared" si="1"/>
        <v>0</v>
      </c>
      <c r="I16" s="315"/>
      <c r="J16" s="301">
        <f t="shared" si="2"/>
        <v>0</v>
      </c>
      <c r="K16" s="131">
        <f t="shared" si="3"/>
        <v>0</v>
      </c>
      <c r="L16" s="139"/>
      <c r="M16" s="139"/>
      <c r="O16" s="604"/>
      <c r="P16" s="257"/>
    </row>
    <row r="17" spans="1:16" s="451" customFormat="1" ht="15.75">
      <c r="A17" s="445">
        <v>3</v>
      </c>
      <c r="B17" s="346"/>
      <c r="C17" s="48" t="s">
        <v>280</v>
      </c>
      <c r="D17" s="303" t="s">
        <v>66</v>
      </c>
      <c r="E17" s="303"/>
      <c r="F17" s="300">
        <f>SUM(F18:F19)</f>
        <v>51.1</v>
      </c>
      <c r="G17" s="343"/>
      <c r="H17" s="300"/>
      <c r="I17" s="343">
        <f>P17/$K$4</f>
        <v>0</v>
      </c>
      <c r="J17" s="300">
        <f>F17*I17</f>
        <v>0</v>
      </c>
      <c r="K17" s="130">
        <f>H17+J17</f>
        <v>0</v>
      </c>
      <c r="L17" s="137">
        <f>SUM(K17:K21)</f>
        <v>0</v>
      </c>
      <c r="M17" s="137">
        <f>L17/F17</f>
        <v>0</v>
      </c>
      <c r="O17" s="170"/>
      <c r="P17" s="272"/>
    </row>
    <row r="18" spans="1:16" s="451" customFormat="1" ht="15.75" outlineLevel="1">
      <c r="A18" s="90"/>
      <c r="B18" s="347"/>
      <c r="C18" s="521" t="str">
        <f>C13</f>
        <v>დონე-6.06 (-2 სართული)</v>
      </c>
      <c r="D18" s="305" t="s">
        <v>66</v>
      </c>
      <c r="E18" s="96"/>
      <c r="F18" s="308">
        <v>13.9</v>
      </c>
      <c r="G18" s="212"/>
      <c r="H18" s="294"/>
      <c r="I18" s="212"/>
      <c r="J18" s="294"/>
      <c r="K18" s="131"/>
      <c r="L18" s="138"/>
      <c r="M18" s="138"/>
      <c r="O18" s="179"/>
      <c r="P18" s="271"/>
    </row>
    <row r="19" spans="1:16" s="451" customFormat="1" ht="15.75" outlineLevel="1">
      <c r="A19" s="90"/>
      <c r="B19" s="347"/>
      <c r="C19" s="521" t="str">
        <f>C14</f>
        <v>დონე -3.08 (-1 სართული)</v>
      </c>
      <c r="D19" s="305" t="s">
        <v>66</v>
      </c>
      <c r="E19" s="96"/>
      <c r="F19" s="308">
        <v>37.2</v>
      </c>
      <c r="G19" s="212"/>
      <c r="H19" s="294"/>
      <c r="I19" s="212"/>
      <c r="J19" s="294"/>
      <c r="K19" s="131"/>
      <c r="L19" s="138"/>
      <c r="M19" s="138"/>
      <c r="O19" s="179"/>
      <c r="P19" s="271"/>
    </row>
    <row r="20" spans="1:16" ht="15.75">
      <c r="A20" s="91"/>
      <c r="B20" s="349"/>
      <c r="C20" s="501" t="s">
        <v>280</v>
      </c>
      <c r="D20" s="305" t="s">
        <v>66</v>
      </c>
      <c r="E20" s="412">
        <v>1.05</v>
      </c>
      <c r="F20" s="301">
        <f>E20*F17</f>
        <v>53.655</v>
      </c>
      <c r="G20" s="315">
        <f aca="true" t="shared" si="4" ref="G20:G21">O20/$K$4</f>
        <v>0</v>
      </c>
      <c r="H20" s="301">
        <f aca="true" t="shared" si="5" ref="H20:H21">F20*G20</f>
        <v>0</v>
      </c>
      <c r="I20" s="315"/>
      <c r="J20" s="301">
        <f aca="true" t="shared" si="6" ref="J20:J21">F20*I20</f>
        <v>0</v>
      </c>
      <c r="K20" s="131">
        <f aca="true" t="shared" si="7" ref="K20:K21">H20+J20</f>
        <v>0</v>
      </c>
      <c r="L20" s="139"/>
      <c r="M20" s="139"/>
      <c r="O20" s="176"/>
      <c r="P20" s="269"/>
    </row>
    <row r="21" spans="1:16" ht="10.8" thickBot="1">
      <c r="A21" s="91"/>
      <c r="B21" s="349"/>
      <c r="C21" s="501" t="s">
        <v>33</v>
      </c>
      <c r="D21" s="502"/>
      <c r="E21" s="412">
        <v>1</v>
      </c>
      <c r="F21" s="301">
        <f>E21*F17</f>
        <v>51.1</v>
      </c>
      <c r="G21" s="315">
        <f t="shared" si="4"/>
        <v>0</v>
      </c>
      <c r="H21" s="301">
        <f t="shared" si="5"/>
        <v>0</v>
      </c>
      <c r="I21" s="315"/>
      <c r="J21" s="301">
        <f t="shared" si="6"/>
        <v>0</v>
      </c>
      <c r="K21" s="131">
        <f t="shared" si="7"/>
        <v>0</v>
      </c>
      <c r="L21" s="139"/>
      <c r="M21" s="139"/>
      <c r="O21" s="604"/>
      <c r="P21" s="257"/>
    </row>
    <row r="22" spans="1:16" ht="24" thickBot="1">
      <c r="A22" s="827" t="s">
        <v>35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  <c r="L22" s="828"/>
      <c r="M22" s="829"/>
      <c r="P22" s="6"/>
    </row>
    <row r="23" spans="1:16" s="451" customFormat="1" ht="15.75">
      <c r="A23" s="445">
        <v>4</v>
      </c>
      <c r="B23" s="346"/>
      <c r="C23" s="352" t="s">
        <v>86</v>
      </c>
      <c r="D23" s="303" t="s">
        <v>17</v>
      </c>
      <c r="E23" s="303"/>
      <c r="F23" s="300">
        <f>SUM(F24:F25)</f>
        <v>451.8</v>
      </c>
      <c r="G23" s="343"/>
      <c r="H23" s="300"/>
      <c r="I23" s="343">
        <f>P23/$K$4</f>
        <v>0</v>
      </c>
      <c r="J23" s="300">
        <f>F23*I23</f>
        <v>0</v>
      </c>
      <c r="K23" s="130">
        <f>H23+J23</f>
        <v>0</v>
      </c>
      <c r="L23" s="137">
        <f>SUM(K23:K31)</f>
        <v>0</v>
      </c>
      <c r="M23" s="137">
        <f>L23/F23</f>
        <v>0</v>
      </c>
      <c r="O23" s="170"/>
      <c r="P23" s="272"/>
    </row>
    <row r="24" spans="1:16" s="451" customFormat="1" ht="15.75" outlineLevel="1">
      <c r="A24" s="90"/>
      <c r="B24" s="347"/>
      <c r="C24" s="521" t="str">
        <f>C18</f>
        <v>დონე-6.06 (-2 სართული)</v>
      </c>
      <c r="D24" s="96" t="s">
        <v>17</v>
      </c>
      <c r="E24" s="96"/>
      <c r="F24" s="308">
        <f>35*3.4</f>
        <v>119</v>
      </c>
      <c r="G24" s="214"/>
      <c r="H24" s="294"/>
      <c r="I24" s="214"/>
      <c r="J24" s="294"/>
      <c r="K24" s="131"/>
      <c r="L24" s="138"/>
      <c r="M24" s="138"/>
      <c r="O24" s="179"/>
      <c r="P24" s="269"/>
    </row>
    <row r="25" spans="1:16" s="451" customFormat="1" ht="15.75" outlineLevel="1">
      <c r="A25" s="222"/>
      <c r="B25" s="347"/>
      <c r="C25" s="521" t="str">
        <f>C19</f>
        <v>დონე -3.08 (-1 სართული)</v>
      </c>
      <c r="D25" s="96" t="s">
        <v>17</v>
      </c>
      <c r="E25" s="96"/>
      <c r="F25" s="308">
        <f>104*3.2</f>
        <v>332.8</v>
      </c>
      <c r="G25" s="212"/>
      <c r="H25" s="294"/>
      <c r="I25" s="212"/>
      <c r="J25" s="294"/>
      <c r="K25" s="131"/>
      <c r="L25" s="138"/>
      <c r="M25" s="138"/>
      <c r="O25" s="179"/>
      <c r="P25" s="271"/>
    </row>
    <row r="26" spans="1:16" ht="15.75">
      <c r="A26" s="91"/>
      <c r="B26" s="414"/>
      <c r="C26" s="219" t="s">
        <v>72</v>
      </c>
      <c r="D26" s="502" t="s">
        <v>73</v>
      </c>
      <c r="E26" s="571">
        <v>12.5</v>
      </c>
      <c r="F26" s="326">
        <f>$F$23*E26</f>
        <v>5647.5</v>
      </c>
      <c r="G26" s="342">
        <f aca="true" t="shared" si="8" ref="G26:G30">O26/$K$4</f>
        <v>0</v>
      </c>
      <c r="H26" s="326">
        <f aca="true" t="shared" si="9" ref="H26:H31">F26*G26</f>
        <v>0</v>
      </c>
      <c r="I26" s="342"/>
      <c r="J26" s="326">
        <f aca="true" t="shared" si="10" ref="J26:J31">F26*I26</f>
        <v>0</v>
      </c>
      <c r="K26" s="258">
        <f aca="true" t="shared" si="11" ref="K26:K31">H26+J26</f>
        <v>0</v>
      </c>
      <c r="L26" s="139"/>
      <c r="M26" s="139"/>
      <c r="O26" s="259"/>
      <c r="P26" s="263"/>
    </row>
    <row r="27" spans="1:16" ht="15.75">
      <c r="A27" s="91"/>
      <c r="B27" s="414"/>
      <c r="C27" s="219" t="s">
        <v>74</v>
      </c>
      <c r="D27" s="328" t="s">
        <v>75</v>
      </c>
      <c r="E27" s="544">
        <v>0.01</v>
      </c>
      <c r="F27" s="326">
        <f aca="true" t="shared" si="12" ref="F27:F31">$F$23*E27</f>
        <v>4.518</v>
      </c>
      <c r="G27" s="342">
        <f t="shared" si="8"/>
        <v>0</v>
      </c>
      <c r="H27" s="326">
        <f t="shared" si="9"/>
        <v>0</v>
      </c>
      <c r="I27" s="342"/>
      <c r="J27" s="326">
        <f t="shared" si="10"/>
        <v>0</v>
      </c>
      <c r="K27" s="258">
        <f t="shared" si="11"/>
        <v>0</v>
      </c>
      <c r="L27" s="139"/>
      <c r="M27" s="139"/>
      <c r="O27" s="259"/>
      <c r="P27" s="263"/>
    </row>
    <row r="28" spans="1:16" ht="15.75">
      <c r="A28" s="91"/>
      <c r="B28" s="414"/>
      <c r="C28" s="219" t="s">
        <v>76</v>
      </c>
      <c r="D28" s="502" t="s">
        <v>77</v>
      </c>
      <c r="E28" s="369">
        <v>0.0033</v>
      </c>
      <c r="F28" s="326">
        <f t="shared" si="12"/>
        <v>1.49094</v>
      </c>
      <c r="G28" s="342">
        <f t="shared" si="8"/>
        <v>0</v>
      </c>
      <c r="H28" s="326">
        <f t="shared" si="9"/>
        <v>0</v>
      </c>
      <c r="I28" s="342"/>
      <c r="J28" s="326">
        <f t="shared" si="10"/>
        <v>0</v>
      </c>
      <c r="K28" s="258">
        <f t="shared" si="11"/>
        <v>0</v>
      </c>
      <c r="L28" s="139"/>
      <c r="M28" s="139"/>
      <c r="O28" s="259"/>
      <c r="P28" s="263"/>
    </row>
    <row r="29" spans="1:16" ht="15.75">
      <c r="A29" s="405"/>
      <c r="B29" s="597"/>
      <c r="C29" s="219" t="s">
        <v>78</v>
      </c>
      <c r="D29" s="502" t="s">
        <v>77</v>
      </c>
      <c r="E29" s="594">
        <v>0.003</v>
      </c>
      <c r="F29" s="326">
        <f t="shared" si="12"/>
        <v>1.3554000000000002</v>
      </c>
      <c r="G29" s="342">
        <f t="shared" si="8"/>
        <v>0</v>
      </c>
      <c r="H29" s="599">
        <f t="shared" si="9"/>
        <v>0</v>
      </c>
      <c r="I29" s="601"/>
      <c r="J29" s="599">
        <f t="shared" si="10"/>
        <v>0</v>
      </c>
      <c r="K29" s="258">
        <f t="shared" si="11"/>
        <v>0</v>
      </c>
      <c r="L29" s="139"/>
      <c r="M29" s="139"/>
      <c r="O29" s="591"/>
      <c r="P29" s="603"/>
    </row>
    <row r="30" spans="1:16" ht="15.75">
      <c r="A30" s="91"/>
      <c r="B30" s="414"/>
      <c r="C30" s="219" t="s">
        <v>79</v>
      </c>
      <c r="D30" s="502" t="s">
        <v>77</v>
      </c>
      <c r="E30" s="544">
        <v>0.007</v>
      </c>
      <c r="F30" s="326">
        <f t="shared" si="12"/>
        <v>3.1626000000000003</v>
      </c>
      <c r="G30" s="342">
        <f t="shared" si="8"/>
        <v>0</v>
      </c>
      <c r="H30" s="326">
        <f t="shared" si="9"/>
        <v>0</v>
      </c>
      <c r="I30" s="342"/>
      <c r="J30" s="326">
        <f t="shared" si="10"/>
        <v>0</v>
      </c>
      <c r="K30" s="557">
        <f t="shared" si="11"/>
        <v>0</v>
      </c>
      <c r="L30" s="139"/>
      <c r="M30" s="139"/>
      <c r="O30" s="259"/>
      <c r="P30" s="263"/>
    </row>
    <row r="31" spans="1:16" ht="10.8" thickBot="1">
      <c r="A31" s="598"/>
      <c r="B31" s="86"/>
      <c r="C31" s="592" t="s">
        <v>80</v>
      </c>
      <c r="D31" s="328" t="s">
        <v>81</v>
      </c>
      <c r="E31" s="595">
        <v>0.03</v>
      </c>
      <c r="F31" s="326">
        <f t="shared" si="12"/>
        <v>13.554</v>
      </c>
      <c r="G31" s="342">
        <f>O31/$K$4</f>
        <v>0</v>
      </c>
      <c r="H31" s="326">
        <f t="shared" si="9"/>
        <v>0</v>
      </c>
      <c r="I31" s="602"/>
      <c r="J31" s="326">
        <f t="shared" si="10"/>
        <v>0</v>
      </c>
      <c r="K31" s="557">
        <f t="shared" si="11"/>
        <v>0</v>
      </c>
      <c r="L31" s="140"/>
      <c r="M31" s="140"/>
      <c r="O31" s="593"/>
      <c r="P31" s="442"/>
    </row>
    <row r="32" spans="1:16" s="451" customFormat="1" ht="15.75">
      <c r="A32" s="445">
        <v>5</v>
      </c>
      <c r="B32" s="346"/>
      <c r="C32" s="352" t="s">
        <v>87</v>
      </c>
      <c r="D32" s="303" t="s">
        <v>17</v>
      </c>
      <c r="E32" s="303"/>
      <c r="F32" s="300">
        <f>SUM(F33:F34)</f>
        <v>1620.3</v>
      </c>
      <c r="G32" s="343"/>
      <c r="H32" s="300"/>
      <c r="I32" s="343">
        <f>P32/$K$4</f>
        <v>0</v>
      </c>
      <c r="J32" s="300">
        <f aca="true" t="shared" si="13" ref="J32">F32*I32</f>
        <v>0</v>
      </c>
      <c r="K32" s="130">
        <f>H32+J32</f>
        <v>0</v>
      </c>
      <c r="L32" s="137">
        <f>SUM(K32:K40)</f>
        <v>0</v>
      </c>
      <c r="M32" s="137">
        <f>L32/F32</f>
        <v>0</v>
      </c>
      <c r="O32" s="170"/>
      <c r="P32" s="520"/>
    </row>
    <row r="33" spans="1:16" s="451" customFormat="1" ht="15.75">
      <c r="A33" s="455"/>
      <c r="B33" s="347"/>
      <c r="C33" s="522" t="str">
        <f>C24</f>
        <v>დონე-6.06 (-2 სართული)</v>
      </c>
      <c r="D33" s="96" t="s">
        <v>17</v>
      </c>
      <c r="E33" s="96"/>
      <c r="F33" s="416">
        <v>612.3</v>
      </c>
      <c r="G33" s="373"/>
      <c r="H33" s="312"/>
      <c r="I33" s="373"/>
      <c r="J33" s="312"/>
      <c r="K33" s="131"/>
      <c r="L33" s="138"/>
      <c r="M33" s="138"/>
      <c r="O33" s="179"/>
      <c r="P33" s="271"/>
    </row>
    <row r="34" spans="1:16" s="451" customFormat="1" ht="15.75" outlineLevel="1">
      <c r="A34" s="90"/>
      <c r="B34" s="347"/>
      <c r="C34" s="522" t="str">
        <f>C25</f>
        <v>დონე -3.08 (-1 სართული)</v>
      </c>
      <c r="D34" s="96" t="s">
        <v>17</v>
      </c>
      <c r="E34" s="96"/>
      <c r="F34" s="308">
        <f>315*3.2</f>
        <v>1008</v>
      </c>
      <c r="G34" s="212"/>
      <c r="H34" s="294"/>
      <c r="I34" s="212"/>
      <c r="J34" s="294"/>
      <c r="K34" s="131"/>
      <c r="L34" s="138"/>
      <c r="M34" s="138"/>
      <c r="O34" s="179"/>
      <c r="P34" s="271"/>
    </row>
    <row r="35" spans="1:16" ht="15.75">
      <c r="A35" s="91"/>
      <c r="B35" s="414"/>
      <c r="C35" s="219" t="s">
        <v>82</v>
      </c>
      <c r="D35" s="502" t="s">
        <v>73</v>
      </c>
      <c r="E35" s="571">
        <v>12.5</v>
      </c>
      <c r="F35" s="326">
        <f>$F$32*E35</f>
        <v>20253.75</v>
      </c>
      <c r="G35" s="342">
        <f aca="true" t="shared" si="14" ref="G35:G40">O35/$K$4</f>
        <v>0</v>
      </c>
      <c r="H35" s="326">
        <f aca="true" t="shared" si="15" ref="H35:H40">F35*G35</f>
        <v>0</v>
      </c>
      <c r="I35" s="342"/>
      <c r="J35" s="326"/>
      <c r="K35" s="258">
        <f aca="true" t="shared" si="16" ref="K35:K40">H35+J35</f>
        <v>0</v>
      </c>
      <c r="L35" s="139"/>
      <c r="M35" s="139"/>
      <c r="O35" s="259"/>
      <c r="P35" s="263"/>
    </row>
    <row r="36" spans="1:16" ht="15.75">
      <c r="A36" s="91"/>
      <c r="B36" s="414"/>
      <c r="C36" s="219" t="s">
        <v>74</v>
      </c>
      <c r="D36" s="328" t="s">
        <v>75</v>
      </c>
      <c r="E36" s="544">
        <v>0.027</v>
      </c>
      <c r="F36" s="326">
        <f aca="true" t="shared" si="17" ref="F36:F40">$F$32*E36</f>
        <v>43.7481</v>
      </c>
      <c r="G36" s="342">
        <f t="shared" si="14"/>
        <v>0</v>
      </c>
      <c r="H36" s="326">
        <f t="shared" si="15"/>
        <v>0</v>
      </c>
      <c r="I36" s="342"/>
      <c r="J36" s="326"/>
      <c r="K36" s="258">
        <f t="shared" si="16"/>
        <v>0</v>
      </c>
      <c r="L36" s="139"/>
      <c r="M36" s="139"/>
      <c r="O36" s="259"/>
      <c r="P36" s="263"/>
    </row>
    <row r="37" spans="1:16" ht="15.75">
      <c r="A37" s="91"/>
      <c r="B37" s="414"/>
      <c r="C37" s="219" t="s">
        <v>83</v>
      </c>
      <c r="D37" s="502" t="s">
        <v>77</v>
      </c>
      <c r="E37" s="544">
        <v>0.006</v>
      </c>
      <c r="F37" s="326">
        <f t="shared" si="17"/>
        <v>9.7218</v>
      </c>
      <c r="G37" s="342">
        <f t="shared" si="14"/>
        <v>0</v>
      </c>
      <c r="H37" s="326">
        <f t="shared" si="15"/>
        <v>0</v>
      </c>
      <c r="I37" s="342"/>
      <c r="J37" s="326"/>
      <c r="K37" s="258">
        <f t="shared" si="16"/>
        <v>0</v>
      </c>
      <c r="L37" s="139"/>
      <c r="M37" s="139"/>
      <c r="O37" s="259"/>
      <c r="P37" s="263"/>
    </row>
    <row r="38" spans="1:16" ht="15.75">
      <c r="A38" s="405"/>
      <c r="B38" s="597"/>
      <c r="C38" s="219" t="s">
        <v>78</v>
      </c>
      <c r="D38" s="502" t="s">
        <v>77</v>
      </c>
      <c r="E38" s="594">
        <v>0.006</v>
      </c>
      <c r="F38" s="326">
        <f t="shared" si="17"/>
        <v>9.7218</v>
      </c>
      <c r="G38" s="342">
        <f t="shared" si="14"/>
        <v>0</v>
      </c>
      <c r="H38" s="599">
        <f t="shared" si="15"/>
        <v>0</v>
      </c>
      <c r="I38" s="601"/>
      <c r="J38" s="599"/>
      <c r="K38" s="258">
        <f t="shared" si="16"/>
        <v>0</v>
      </c>
      <c r="L38" s="139"/>
      <c r="M38" s="139"/>
      <c r="O38" s="259"/>
      <c r="P38" s="603"/>
    </row>
    <row r="39" spans="1:16" ht="15.75">
      <c r="A39" s="91"/>
      <c r="B39" s="414"/>
      <c r="C39" s="219" t="s">
        <v>79</v>
      </c>
      <c r="D39" s="502" t="s">
        <v>77</v>
      </c>
      <c r="E39" s="544">
        <v>0.007</v>
      </c>
      <c r="F39" s="326">
        <f t="shared" si="17"/>
        <v>11.3421</v>
      </c>
      <c r="G39" s="342">
        <f t="shared" si="14"/>
        <v>0</v>
      </c>
      <c r="H39" s="326">
        <f t="shared" si="15"/>
        <v>0</v>
      </c>
      <c r="I39" s="342"/>
      <c r="J39" s="326"/>
      <c r="K39" s="557">
        <f t="shared" si="16"/>
        <v>0</v>
      </c>
      <c r="L39" s="139"/>
      <c r="M39" s="139"/>
      <c r="O39" s="259"/>
      <c r="P39" s="263"/>
    </row>
    <row r="40" spans="1:16" ht="10.8" thickBot="1">
      <c r="A40" s="598"/>
      <c r="B40" s="86"/>
      <c r="C40" s="592" t="s">
        <v>80</v>
      </c>
      <c r="D40" s="328" t="s">
        <v>81</v>
      </c>
      <c r="E40" s="596">
        <v>0.055</v>
      </c>
      <c r="F40" s="326">
        <f t="shared" si="17"/>
        <v>89.1165</v>
      </c>
      <c r="G40" s="342">
        <f t="shared" si="14"/>
        <v>0</v>
      </c>
      <c r="H40" s="326">
        <f t="shared" si="15"/>
        <v>0</v>
      </c>
      <c r="I40" s="602"/>
      <c r="J40" s="600"/>
      <c r="K40" s="557">
        <f t="shared" si="16"/>
        <v>0</v>
      </c>
      <c r="L40" s="140"/>
      <c r="M40" s="140"/>
      <c r="O40" s="536"/>
      <c r="P40" s="442"/>
    </row>
    <row r="41" spans="1:16" s="451" customFormat="1" ht="15.75">
      <c r="A41" s="445">
        <v>6</v>
      </c>
      <c r="B41" s="346"/>
      <c r="C41" s="48" t="s">
        <v>84</v>
      </c>
      <c r="D41" s="303" t="s">
        <v>81</v>
      </c>
      <c r="E41" s="303"/>
      <c r="F41" s="300">
        <f>SUM(F42:F43)</f>
        <v>4144.2</v>
      </c>
      <c r="G41" s="343"/>
      <c r="H41" s="300"/>
      <c r="I41" s="343">
        <f>P41/$K$4</f>
        <v>0</v>
      </c>
      <c r="J41" s="300">
        <f>F41*I41</f>
        <v>0</v>
      </c>
      <c r="K41" s="130">
        <f>H41+J41</f>
        <v>0</v>
      </c>
      <c r="L41" s="137">
        <f>SUM(K41:K44)</f>
        <v>0</v>
      </c>
      <c r="M41" s="137">
        <f>L41/F41</f>
        <v>0</v>
      </c>
      <c r="O41" s="170"/>
      <c r="P41" s="272"/>
    </row>
    <row r="42" spans="1:16" s="451" customFormat="1" ht="15.75" outlineLevel="1">
      <c r="A42" s="90"/>
      <c r="B42" s="347"/>
      <c r="C42" s="521" t="str">
        <f>C33</f>
        <v>დონე-6.06 (-2 სართული)</v>
      </c>
      <c r="D42" s="96" t="s">
        <v>81</v>
      </c>
      <c r="E42" s="96"/>
      <c r="F42" s="308">
        <f>F33*2+F24*2</f>
        <v>1462.6</v>
      </c>
      <c r="G42" s="212"/>
      <c r="H42" s="294"/>
      <c r="I42" s="212"/>
      <c r="J42" s="294"/>
      <c r="K42" s="131"/>
      <c r="L42" s="138"/>
      <c r="M42" s="138"/>
      <c r="O42" s="179"/>
      <c r="P42" s="271"/>
    </row>
    <row r="43" spans="1:16" s="451" customFormat="1" ht="15.75" outlineLevel="1">
      <c r="A43" s="90"/>
      <c r="B43" s="347"/>
      <c r="C43" s="521" t="str">
        <f>C34</f>
        <v>დონე -3.08 (-1 სართული)</v>
      </c>
      <c r="D43" s="96" t="s">
        <v>81</v>
      </c>
      <c r="E43" s="96"/>
      <c r="F43" s="308">
        <f>F34*2+F25*2</f>
        <v>2681.6</v>
      </c>
      <c r="G43" s="212"/>
      <c r="H43" s="294"/>
      <c r="I43" s="212"/>
      <c r="J43" s="294"/>
      <c r="K43" s="131"/>
      <c r="L43" s="138"/>
      <c r="M43" s="138"/>
      <c r="O43" s="179"/>
      <c r="P43" s="271"/>
    </row>
    <row r="44" spans="1:16" ht="10.8" thickBot="1">
      <c r="A44" s="91"/>
      <c r="B44" s="349"/>
      <c r="C44" s="501" t="s">
        <v>147</v>
      </c>
      <c r="D44" s="502" t="s">
        <v>77</v>
      </c>
      <c r="E44" s="413">
        <v>0.035</v>
      </c>
      <c r="F44" s="301">
        <f>$F$41*E44</f>
        <v>145.047</v>
      </c>
      <c r="G44" s="315">
        <f>O44/$K$4</f>
        <v>0</v>
      </c>
      <c r="H44" s="301">
        <f>F44*G44</f>
        <v>0</v>
      </c>
      <c r="I44" s="315"/>
      <c r="J44" s="301"/>
      <c r="K44" s="131">
        <f>H44+J44</f>
        <v>0</v>
      </c>
      <c r="L44" s="139"/>
      <c r="M44" s="139"/>
      <c r="O44" s="176"/>
      <c r="P44" s="269"/>
    </row>
    <row r="45" spans="1:16" s="451" customFormat="1" ht="15.75">
      <c r="A45" s="445">
        <v>7</v>
      </c>
      <c r="B45" s="346"/>
      <c r="C45" s="48" t="s">
        <v>85</v>
      </c>
      <c r="D45" s="303" t="s">
        <v>66</v>
      </c>
      <c r="E45" s="303"/>
      <c r="F45" s="300">
        <f>SUM(F46:F47)</f>
        <v>42</v>
      </c>
      <c r="G45" s="343"/>
      <c r="H45" s="300"/>
      <c r="I45" s="343">
        <f>P45/$K$4</f>
        <v>0</v>
      </c>
      <c r="J45" s="300">
        <f>F45*I45</f>
        <v>0</v>
      </c>
      <c r="K45" s="130">
        <f>H45+J45</f>
        <v>0</v>
      </c>
      <c r="L45" s="137">
        <f>SUM(K45:K49)</f>
        <v>0</v>
      </c>
      <c r="M45" s="137">
        <f>L45/F45</f>
        <v>0</v>
      </c>
      <c r="O45" s="170"/>
      <c r="P45" s="272"/>
    </row>
    <row r="46" spans="1:16" s="451" customFormat="1" ht="15.75" outlineLevel="1">
      <c r="A46" s="90"/>
      <c r="B46" s="347"/>
      <c r="C46" s="521" t="str">
        <f>C42</f>
        <v>დონე-6.06 (-2 სართული)</v>
      </c>
      <c r="D46" s="305" t="s">
        <v>66</v>
      </c>
      <c r="E46" s="96"/>
      <c r="F46" s="308">
        <f>6*3.5</f>
        <v>21</v>
      </c>
      <c r="G46" s="212"/>
      <c r="H46" s="294"/>
      <c r="I46" s="212"/>
      <c r="J46" s="294"/>
      <c r="K46" s="131"/>
      <c r="L46" s="138"/>
      <c r="M46" s="138"/>
      <c r="O46" s="179"/>
      <c r="P46" s="271"/>
    </row>
    <row r="47" spans="1:16" s="451" customFormat="1" ht="15.75" outlineLevel="1">
      <c r="A47" s="90"/>
      <c r="B47" s="347"/>
      <c r="C47" s="521" t="str">
        <f>C43</f>
        <v>დონე -3.08 (-1 სართული)</v>
      </c>
      <c r="D47" s="305" t="s">
        <v>66</v>
      </c>
      <c r="E47" s="96"/>
      <c r="F47" s="308">
        <f>6*3.5</f>
        <v>21</v>
      </c>
      <c r="G47" s="212"/>
      <c r="H47" s="294"/>
      <c r="I47" s="212"/>
      <c r="J47" s="294"/>
      <c r="K47" s="131"/>
      <c r="L47" s="138"/>
      <c r="M47" s="138"/>
      <c r="O47" s="179"/>
      <c r="P47" s="271"/>
    </row>
    <row r="48" spans="1:16" ht="15.75">
      <c r="A48" s="91"/>
      <c r="B48" s="349"/>
      <c r="C48" s="501" t="s">
        <v>85</v>
      </c>
      <c r="D48" s="305" t="s">
        <v>66</v>
      </c>
      <c r="E48" s="413">
        <v>1.05</v>
      </c>
      <c r="F48" s="301">
        <f>E48*F45</f>
        <v>44.1</v>
      </c>
      <c r="G48" s="315">
        <f>O48/$K$4</f>
        <v>0</v>
      </c>
      <c r="H48" s="301">
        <f>F48*G48</f>
        <v>0</v>
      </c>
      <c r="I48" s="315"/>
      <c r="J48" s="301"/>
      <c r="K48" s="131">
        <f>H48+J48</f>
        <v>0</v>
      </c>
      <c r="L48" s="139"/>
      <c r="M48" s="139"/>
      <c r="O48" s="176"/>
      <c r="P48" s="269"/>
    </row>
    <row r="49" spans="1:16" ht="10.8" thickBot="1">
      <c r="A49" s="91"/>
      <c r="B49" s="349"/>
      <c r="C49" s="501" t="s">
        <v>33</v>
      </c>
      <c r="D49" s="502"/>
      <c r="E49" s="304">
        <v>1</v>
      </c>
      <c r="F49" s="301">
        <f>E49*F45</f>
        <v>42</v>
      </c>
      <c r="G49" s="315">
        <f>O49/$K$4</f>
        <v>0</v>
      </c>
      <c r="H49" s="301">
        <f>F49*G49</f>
        <v>0</v>
      </c>
      <c r="I49" s="315"/>
      <c r="J49" s="301"/>
      <c r="K49" s="131">
        <f>H49+J49</f>
        <v>0</v>
      </c>
      <c r="L49" s="139"/>
      <c r="M49" s="139"/>
      <c r="O49" s="176"/>
      <c r="P49" s="269"/>
    </row>
    <row r="50" spans="1:16" ht="24" thickBot="1">
      <c r="A50" s="827" t="s">
        <v>89</v>
      </c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9"/>
      <c r="P50" s="6"/>
    </row>
    <row r="51" spans="1:16" s="451" customFormat="1" ht="15.75">
      <c r="A51" s="445">
        <v>8</v>
      </c>
      <c r="B51" s="346"/>
      <c r="C51" s="48" t="s">
        <v>85</v>
      </c>
      <c r="D51" s="303" t="s">
        <v>66</v>
      </c>
      <c r="E51" s="303"/>
      <c r="F51" s="300">
        <f>SUM(F52:F53)</f>
        <v>493.6</v>
      </c>
      <c r="G51" s="343"/>
      <c r="H51" s="300"/>
      <c r="I51" s="343">
        <f>P51/$K$4</f>
        <v>0</v>
      </c>
      <c r="J51" s="300">
        <f>F51*I51</f>
        <v>0</v>
      </c>
      <c r="K51" s="130">
        <f>H51+J51</f>
        <v>0</v>
      </c>
      <c r="L51" s="137">
        <f>SUM(K51:K55)</f>
        <v>0</v>
      </c>
      <c r="M51" s="137">
        <f>L51/F51</f>
        <v>0</v>
      </c>
      <c r="O51" s="170"/>
      <c r="P51" s="272"/>
    </row>
    <row r="52" spans="1:16" s="451" customFormat="1" ht="15.75" outlineLevel="1">
      <c r="A52" s="90"/>
      <c r="B52" s="347"/>
      <c r="C52" s="521" t="str">
        <f>C46</f>
        <v>დონე-6.06 (-2 სართული)</v>
      </c>
      <c r="D52" s="305" t="s">
        <v>66</v>
      </c>
      <c r="E52" s="96"/>
      <c r="F52" s="308">
        <v>242.3</v>
      </c>
      <c r="G52" s="212"/>
      <c r="H52" s="294"/>
      <c r="I52" s="212"/>
      <c r="J52" s="294"/>
      <c r="K52" s="131"/>
      <c r="L52" s="138"/>
      <c r="M52" s="138"/>
      <c r="O52" s="179"/>
      <c r="P52" s="271"/>
    </row>
    <row r="53" spans="1:16" s="451" customFormat="1" ht="15.75" outlineLevel="1">
      <c r="A53" s="90"/>
      <c r="B53" s="347"/>
      <c r="C53" s="521" t="str">
        <f>C47</f>
        <v>დონე -3.08 (-1 სართული)</v>
      </c>
      <c r="D53" s="305" t="s">
        <v>66</v>
      </c>
      <c r="E53" s="96"/>
      <c r="F53" s="308">
        <v>251.3</v>
      </c>
      <c r="G53" s="212"/>
      <c r="H53" s="294"/>
      <c r="I53" s="212"/>
      <c r="J53" s="294"/>
      <c r="K53" s="131"/>
      <c r="L53" s="138"/>
      <c r="M53" s="138"/>
      <c r="O53" s="179"/>
      <c r="P53" s="271"/>
    </row>
    <row r="54" spans="1:16" ht="15.75">
      <c r="A54" s="91"/>
      <c r="B54" s="349"/>
      <c r="C54" s="501" t="s">
        <v>85</v>
      </c>
      <c r="D54" s="305" t="s">
        <v>66</v>
      </c>
      <c r="E54" s="413">
        <v>1.05</v>
      </c>
      <c r="F54" s="301">
        <f>E54*F51</f>
        <v>518.2800000000001</v>
      </c>
      <c r="G54" s="315">
        <f>O54/$K$4</f>
        <v>0</v>
      </c>
      <c r="H54" s="301">
        <f>F54*G54</f>
        <v>0</v>
      </c>
      <c r="I54" s="315"/>
      <c r="J54" s="301"/>
      <c r="K54" s="131">
        <f>H54+J54</f>
        <v>0</v>
      </c>
      <c r="L54" s="139"/>
      <c r="M54" s="139"/>
      <c r="O54" s="176"/>
      <c r="P54" s="269"/>
    </row>
    <row r="55" spans="1:16" ht="10.8" thickBot="1">
      <c r="A55" s="91"/>
      <c r="B55" s="349"/>
      <c r="C55" s="501" t="s">
        <v>33</v>
      </c>
      <c r="D55" s="502"/>
      <c r="E55" s="304">
        <v>1</v>
      </c>
      <c r="F55" s="301">
        <f>E55*F51</f>
        <v>493.6</v>
      </c>
      <c r="G55" s="315">
        <f>O55/$K$4</f>
        <v>0</v>
      </c>
      <c r="H55" s="301">
        <f>F55*G55</f>
        <v>0</v>
      </c>
      <c r="I55" s="315"/>
      <c r="J55" s="301"/>
      <c r="K55" s="131">
        <f>H55+J55</f>
        <v>0</v>
      </c>
      <c r="L55" s="139"/>
      <c r="M55" s="139"/>
      <c r="O55" s="176"/>
      <c r="P55" s="269"/>
    </row>
    <row r="56" spans="1:16" ht="10.8" thickBot="1">
      <c r="A56" s="288"/>
      <c r="B56" s="288"/>
      <c r="C56" s="289"/>
      <c r="D56" s="523"/>
      <c r="E56" s="51"/>
      <c r="F56" s="53"/>
      <c r="G56" s="112"/>
      <c r="H56" s="53"/>
      <c r="I56" s="365"/>
      <c r="J56" s="54"/>
      <c r="K56" s="129"/>
      <c r="L56" s="129"/>
      <c r="M56" s="129"/>
      <c r="O56" s="177"/>
      <c r="P56" s="365"/>
    </row>
    <row r="57" spans="1:16" s="12" customFormat="1" ht="10.8" thickBot="1">
      <c r="A57" s="6"/>
      <c r="B57" s="6"/>
      <c r="C57" s="6"/>
      <c r="D57" s="6"/>
      <c r="E57" s="6"/>
      <c r="F57" s="203"/>
      <c r="G57" s="115"/>
      <c r="H57" s="84">
        <f>SUM(H12:H56)</f>
        <v>0</v>
      </c>
      <c r="I57" s="125"/>
      <c r="J57" s="84">
        <f>SUM(J12:J56)</f>
        <v>0</v>
      </c>
      <c r="K57" s="133"/>
      <c r="L57" s="134"/>
      <c r="M57" s="134"/>
      <c r="O57" s="182"/>
      <c r="P57" s="124"/>
    </row>
    <row r="58" spans="1:16" s="12" customFormat="1" ht="13.5" customHeight="1" thickBot="1">
      <c r="A58" s="6"/>
      <c r="B58" s="6"/>
      <c r="C58" s="6"/>
      <c r="D58" s="6"/>
      <c r="E58" s="6"/>
      <c r="F58" s="444"/>
      <c r="G58" s="572"/>
      <c r="H58" s="82" t="s">
        <v>67</v>
      </c>
      <c r="I58" s="573">
        <v>0.02</v>
      </c>
      <c r="J58" s="20"/>
      <c r="K58" s="98">
        <f>I58*H57</f>
        <v>0</v>
      </c>
      <c r="L58" s="134"/>
      <c r="M58" s="134"/>
      <c r="O58" s="182"/>
      <c r="P58" s="124"/>
    </row>
    <row r="59" spans="1:16" s="12" customFormat="1" ht="13.5" customHeight="1" thickBot="1">
      <c r="A59" s="6"/>
      <c r="B59" s="6"/>
      <c r="C59" s="6"/>
      <c r="D59" s="6"/>
      <c r="E59" s="6"/>
      <c r="F59" s="444"/>
      <c r="G59" s="574"/>
      <c r="H59" s="31"/>
      <c r="I59" s="575"/>
      <c r="J59" s="31"/>
      <c r="K59" s="99"/>
      <c r="L59" s="134"/>
      <c r="M59" s="134"/>
      <c r="O59" s="182"/>
      <c r="P59" s="124"/>
    </row>
    <row r="60" spans="1:16" s="12" customFormat="1" ht="13.5" customHeight="1" thickBot="1">
      <c r="A60" s="6"/>
      <c r="B60" s="6"/>
      <c r="C60" s="1"/>
      <c r="D60" s="463"/>
      <c r="E60" s="1"/>
      <c r="F60" s="451"/>
      <c r="G60" s="572"/>
      <c r="H60" s="625" t="s">
        <v>56</v>
      </c>
      <c r="I60" s="573"/>
      <c r="J60" s="20"/>
      <c r="K60" s="98">
        <f>SUM(K12:K58)</f>
        <v>0</v>
      </c>
      <c r="L60" s="142"/>
      <c r="M60" s="142"/>
      <c r="O60" s="182"/>
      <c r="P60" s="124"/>
    </row>
    <row r="61" spans="1:16" s="12" customFormat="1" ht="13.5" customHeight="1" thickBot="1">
      <c r="A61" s="6"/>
      <c r="B61" s="6"/>
      <c r="C61" s="169"/>
      <c r="D61" s="169"/>
      <c r="E61" s="1"/>
      <c r="F61" s="451"/>
      <c r="G61" s="576"/>
      <c r="H61" s="34"/>
      <c r="I61" s="577"/>
      <c r="J61" s="34"/>
      <c r="K61" s="100"/>
      <c r="L61" s="142"/>
      <c r="M61" s="142"/>
      <c r="O61" s="182"/>
      <c r="P61" s="124"/>
    </row>
    <row r="62" spans="2:16" s="12" customFormat="1" ht="13.5" customHeight="1">
      <c r="B62" s="85"/>
      <c r="C62" s="169"/>
      <c r="D62" s="169"/>
      <c r="F62" s="13"/>
      <c r="G62" s="578"/>
      <c r="H62" s="44" t="s">
        <v>68</v>
      </c>
      <c r="I62" s="579">
        <v>0.08</v>
      </c>
      <c r="J62" s="25"/>
      <c r="K62" s="101">
        <f>K60*I62</f>
        <v>0</v>
      </c>
      <c r="L62" s="142"/>
      <c r="M62" s="142"/>
      <c r="O62" s="182"/>
      <c r="P62" s="124"/>
    </row>
    <row r="63" spans="2:16" s="12" customFormat="1" ht="13.5" customHeight="1" thickBot="1">
      <c r="B63" s="85"/>
      <c r="C63" s="169"/>
      <c r="D63" s="169"/>
      <c r="F63" s="13"/>
      <c r="G63" s="580"/>
      <c r="H63" s="42" t="s">
        <v>56</v>
      </c>
      <c r="I63" s="581"/>
      <c r="J63" s="43"/>
      <c r="K63" s="102">
        <f>K60+K62</f>
        <v>0</v>
      </c>
      <c r="L63" s="142"/>
      <c r="M63" s="142"/>
      <c r="O63" s="182"/>
      <c r="P63" s="124"/>
    </row>
    <row r="64" spans="2:16" s="12" customFormat="1" ht="13.5" customHeight="1" thickBot="1">
      <c r="B64" s="85"/>
      <c r="C64" s="169"/>
      <c r="D64" s="169"/>
      <c r="F64" s="13"/>
      <c r="G64" s="582"/>
      <c r="H64" s="37"/>
      <c r="I64" s="583"/>
      <c r="J64" s="39"/>
      <c r="K64" s="103"/>
      <c r="L64" s="142"/>
      <c r="M64" s="142"/>
      <c r="O64" s="182"/>
      <c r="P64" s="124"/>
    </row>
    <row r="65" spans="2:16" s="12" customFormat="1" ht="13.5" customHeight="1">
      <c r="B65" s="85"/>
      <c r="C65" s="8"/>
      <c r="F65" s="13"/>
      <c r="G65" s="584"/>
      <c r="H65" s="44" t="s">
        <v>69</v>
      </c>
      <c r="I65" s="579">
        <v>0.08</v>
      </c>
      <c r="J65" s="25"/>
      <c r="K65" s="101">
        <f>K63*I65</f>
        <v>0</v>
      </c>
      <c r="L65" s="142"/>
      <c r="M65" s="142"/>
      <c r="O65" s="182"/>
      <c r="P65" s="124"/>
    </row>
    <row r="66" spans="2:16" s="12" customFormat="1" ht="13.5" customHeight="1" thickBot="1">
      <c r="B66" s="85"/>
      <c r="C66" s="8"/>
      <c r="F66" s="13"/>
      <c r="G66" s="580"/>
      <c r="H66" s="42" t="s">
        <v>56</v>
      </c>
      <c r="I66" s="581"/>
      <c r="J66" s="43"/>
      <c r="K66" s="102">
        <f>K63+K65</f>
        <v>0</v>
      </c>
      <c r="L66" s="142"/>
      <c r="M66" s="142"/>
      <c r="O66" s="182"/>
      <c r="P66" s="124"/>
    </row>
    <row r="67" spans="2:16" s="12" customFormat="1" ht="13.5" customHeight="1" thickBot="1">
      <c r="B67" s="85"/>
      <c r="C67" s="8"/>
      <c r="D67" s="526"/>
      <c r="F67" s="13"/>
      <c r="G67" s="582"/>
      <c r="H67" s="37"/>
      <c r="I67" s="583"/>
      <c r="J67" s="39"/>
      <c r="K67" s="103"/>
      <c r="L67" s="142"/>
      <c r="M67" s="142"/>
      <c r="O67" s="182"/>
      <c r="P67" s="124"/>
    </row>
    <row r="68" spans="2:16" s="12" customFormat="1" ht="13.5" customHeight="1">
      <c r="B68" s="85"/>
      <c r="C68" s="8"/>
      <c r="F68" s="13"/>
      <c r="G68" s="584"/>
      <c r="H68" s="44" t="s">
        <v>70</v>
      </c>
      <c r="I68" s="579">
        <v>0</v>
      </c>
      <c r="J68" s="25"/>
      <c r="K68" s="101">
        <f>K66*I68</f>
        <v>0</v>
      </c>
      <c r="L68" s="142"/>
      <c r="M68" s="142"/>
      <c r="O68" s="182"/>
      <c r="P68" s="124"/>
    </row>
    <row r="69" spans="1:16" s="8" customFormat="1" ht="13.5" customHeight="1" thickBot="1">
      <c r="A69" s="12"/>
      <c r="B69" s="85"/>
      <c r="D69" s="12"/>
      <c r="E69" s="12"/>
      <c r="F69" s="13"/>
      <c r="G69" s="580"/>
      <c r="H69" s="42" t="s">
        <v>56</v>
      </c>
      <c r="I69" s="581"/>
      <c r="J69" s="43"/>
      <c r="K69" s="102">
        <f>K66+K68</f>
        <v>0</v>
      </c>
      <c r="L69" s="143"/>
      <c r="M69" s="143"/>
      <c r="O69" s="182"/>
      <c r="P69" s="124"/>
    </row>
    <row r="70" spans="1:16" s="8" customFormat="1" ht="13.5" customHeight="1" thickBot="1">
      <c r="A70" s="12"/>
      <c r="B70" s="85"/>
      <c r="D70" s="12"/>
      <c r="E70" s="12"/>
      <c r="F70" s="13"/>
      <c r="G70" s="121"/>
      <c r="H70" s="37"/>
      <c r="I70" s="230"/>
      <c r="J70" s="39"/>
      <c r="K70" s="103"/>
      <c r="L70" s="143"/>
      <c r="M70" s="143"/>
      <c r="O70" s="182"/>
      <c r="P70" s="124"/>
    </row>
    <row r="71" spans="1:16" ht="15.75">
      <c r="A71" s="12"/>
      <c r="B71" s="85"/>
      <c r="C71" s="8"/>
      <c r="D71" s="12"/>
      <c r="E71" s="12"/>
      <c r="F71" s="13"/>
      <c r="G71" s="122"/>
      <c r="H71" s="23" t="s">
        <v>71</v>
      </c>
      <c r="I71" s="228">
        <v>0.18</v>
      </c>
      <c r="J71" s="25"/>
      <c r="K71" s="104">
        <f>K69*I71</f>
        <v>0</v>
      </c>
      <c r="L71" s="144"/>
      <c r="M71" s="144"/>
      <c r="O71" s="182"/>
      <c r="P71" s="124"/>
    </row>
    <row r="72" spans="1:16" ht="10.8" thickBot="1">
      <c r="A72" s="12"/>
      <c r="B72" s="85"/>
      <c r="C72" s="8"/>
      <c r="D72" s="12"/>
      <c r="E72" s="12"/>
      <c r="F72" s="13"/>
      <c r="G72" s="120"/>
      <c r="H72" s="17" t="s">
        <v>56</v>
      </c>
      <c r="I72" s="106" t="s">
        <v>12</v>
      </c>
      <c r="J72" s="18"/>
      <c r="K72" s="105">
        <f>K69+K71</f>
        <v>0</v>
      </c>
      <c r="L72" s="144"/>
      <c r="M72" s="144"/>
      <c r="O72" s="182"/>
      <c r="P72" s="124"/>
    </row>
    <row r="73" spans="1:16" ht="15.75">
      <c r="A73" s="12"/>
      <c r="B73" s="85"/>
      <c r="C73" s="8"/>
      <c r="D73" s="12"/>
      <c r="E73" s="12"/>
      <c r="F73" s="13"/>
      <c r="G73" s="123"/>
      <c r="H73" s="13"/>
      <c r="I73" s="123"/>
      <c r="J73" s="13"/>
      <c r="K73" s="134"/>
      <c r="L73" s="145"/>
      <c r="M73" s="145"/>
      <c r="O73" s="182"/>
      <c r="P73" s="124"/>
    </row>
    <row r="74" spans="1:16" ht="15.75">
      <c r="A74" s="8"/>
      <c r="B74" s="86"/>
      <c r="C74" s="8"/>
      <c r="D74" s="15"/>
      <c r="E74" s="8"/>
      <c r="F74" s="9"/>
      <c r="G74" s="124"/>
      <c r="H74" s="9"/>
      <c r="I74" s="124"/>
      <c r="J74" s="9"/>
      <c r="K74" s="127"/>
      <c r="L74" s="68"/>
      <c r="M74" s="68"/>
      <c r="O74" s="182"/>
      <c r="P74" s="124"/>
    </row>
  </sheetData>
  <mergeCells count="18">
    <mergeCell ref="C1:E1"/>
    <mergeCell ref="A2:C2"/>
    <mergeCell ref="I2:K2"/>
    <mergeCell ref="A3:B3"/>
    <mergeCell ref="A7:A8"/>
    <mergeCell ref="B7:B8"/>
    <mergeCell ref="D7:D8"/>
    <mergeCell ref="E7:F7"/>
    <mergeCell ref="G7:H7"/>
    <mergeCell ref="I7:J7"/>
    <mergeCell ref="K7:K8"/>
    <mergeCell ref="A50:M50"/>
    <mergeCell ref="M7:M8"/>
    <mergeCell ref="A11:M11"/>
    <mergeCell ref="O7:O8"/>
    <mergeCell ref="P7:P8"/>
    <mergeCell ref="A22:M22"/>
    <mergeCell ref="L7:L8"/>
  </mergeCells>
  <printOptions/>
  <pageMargins left="0.35000000000000003" right="0.7500000000000001" top="1" bottom="1.18" header="0.5" footer="0.5"/>
  <pageSetup fitToHeight="1" fitToWidth="1" horizontalDpi="600" verticalDpi="600" orientation="portrait" paperSize="9" scale="14" r:id="rId1"/>
  <headerFooter>
    <oddHeader>&amp;L&amp;16M/2&amp;12 Nutsubidze Project &amp;C&amp;"-,Bold"&amp;18&amp;UBoQ - Shell &amp; Core Works</oddHeader>
    <oddFooter>&amp;L&amp;"-,Bold"&amp;8&amp;K00-048For any queries with regards to BoQ please contact at:    cmc@cmconsulting.ge&amp;"-,Regular"&amp;12&amp;K01+000 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P137"/>
  <sheetViews>
    <sheetView showGridLines="0" zoomScale="115" zoomScaleNormal="115" zoomScalePageLayoutView="110" workbookViewId="0" topLeftCell="A110">
      <selection activeCell="F17" sqref="F17"/>
    </sheetView>
  </sheetViews>
  <sheetFormatPr defaultColWidth="8.875" defaultRowHeight="15.75" outlineLevelRow="1"/>
  <cols>
    <col min="1" max="1" width="3.50390625" style="6" bestFit="1" customWidth="1"/>
    <col min="2" max="2" width="9.875" style="6" bestFit="1" customWidth="1"/>
    <col min="3" max="3" width="39.50390625" style="6" customWidth="1"/>
    <col min="4" max="4" width="8.125" style="6" bestFit="1" customWidth="1"/>
    <col min="5" max="5" width="9.375" style="6" customWidth="1"/>
    <col min="6" max="6" width="9.375" style="11" customWidth="1"/>
    <col min="7" max="7" width="9.875" style="111" bestFit="1" customWidth="1"/>
    <col min="8" max="8" width="17.125" style="11" bestFit="1" customWidth="1"/>
    <col min="9" max="9" width="13.50390625" style="111" customWidth="1"/>
    <col min="10" max="10" width="17.125" style="11" customWidth="1"/>
    <col min="11" max="11" width="12.375" style="128" bestFit="1" customWidth="1"/>
    <col min="12" max="12" width="12.50390625" style="136" customWidth="1"/>
    <col min="13" max="13" width="16.50390625" style="136" bestFit="1" customWidth="1"/>
    <col min="14" max="14" width="8.875" style="6" customWidth="1"/>
    <col min="15" max="15" width="9.875" style="175" bestFit="1" customWidth="1"/>
    <col min="16" max="16" width="13.50390625" style="111" customWidth="1"/>
    <col min="17" max="16384" width="8.875" style="6" customWidth="1"/>
  </cols>
  <sheetData>
    <row r="1" spans="1:16" ht="18" thickBot="1">
      <c r="A1" s="1"/>
      <c r="B1" s="2"/>
      <c r="C1" s="817" t="str">
        <f>TOTAL!A2</f>
        <v>სითი მოლი საბურთალო</v>
      </c>
      <c r="D1" s="817"/>
      <c r="E1" s="817"/>
      <c r="F1" s="5"/>
      <c r="G1" s="107"/>
      <c r="H1" s="5"/>
      <c r="I1" s="367"/>
      <c r="J1" s="190"/>
      <c r="K1" s="293"/>
      <c r="L1" s="135"/>
      <c r="M1" s="135"/>
      <c r="O1" s="171"/>
      <c r="P1" s="107"/>
    </row>
    <row r="2" spans="1:16" ht="16.2" thickBot="1">
      <c r="A2" s="836" t="s">
        <v>65</v>
      </c>
      <c r="B2" s="836"/>
      <c r="C2" s="837"/>
      <c r="D2" s="4"/>
      <c r="E2" s="1"/>
      <c r="F2" s="5"/>
      <c r="G2" s="107"/>
      <c r="H2" s="290"/>
      <c r="I2" s="838"/>
      <c r="J2" s="839"/>
      <c r="K2" s="840"/>
      <c r="L2" s="128"/>
      <c r="M2" s="128"/>
      <c r="O2" s="171"/>
      <c r="P2" s="6"/>
    </row>
    <row r="3" spans="1:16" ht="21" thickBot="1">
      <c r="A3" s="841"/>
      <c r="B3" s="841"/>
      <c r="C3" s="45"/>
      <c r="E3" s="45"/>
      <c r="F3" s="45"/>
      <c r="G3" s="108"/>
      <c r="H3" s="291"/>
      <c r="I3" s="588" t="s">
        <v>62</v>
      </c>
      <c r="J3" s="589" t="s">
        <v>63</v>
      </c>
      <c r="K3" s="590" t="s">
        <v>64</v>
      </c>
      <c r="L3" s="128"/>
      <c r="M3" s="128"/>
      <c r="O3" s="172"/>
      <c r="P3" s="6"/>
    </row>
    <row r="4" spans="1:16" ht="15.6" thickBot="1">
      <c r="A4" s="1"/>
      <c r="B4" s="2"/>
      <c r="C4" s="71"/>
      <c r="D4" s="47"/>
      <c r="E4" s="46"/>
      <c r="F4" s="46"/>
      <c r="G4" s="109"/>
      <c r="H4" s="292"/>
      <c r="I4" s="296">
        <f>K135</f>
        <v>0</v>
      </c>
      <c r="J4" s="297">
        <f>I4*K4</f>
        <v>0</v>
      </c>
      <c r="K4" s="403">
        <f>TOTAL!C24</f>
        <v>2.45</v>
      </c>
      <c r="L4" s="128"/>
      <c r="M4" s="128"/>
      <c r="O4" s="173"/>
      <c r="P4" s="6"/>
    </row>
    <row r="5" spans="1:16" ht="15.75">
      <c r="A5" s="1"/>
      <c r="B5" s="2"/>
      <c r="C5" s="1"/>
      <c r="D5" s="4"/>
      <c r="E5" s="4"/>
      <c r="F5" s="3"/>
      <c r="G5" s="110"/>
      <c r="H5" s="3"/>
      <c r="I5" s="110"/>
      <c r="J5" s="5"/>
      <c r="K5" s="127"/>
      <c r="L5" s="68"/>
      <c r="M5" s="68"/>
      <c r="O5" s="174"/>
      <c r="P5" s="6"/>
    </row>
    <row r="6" ht="10.8" thickBot="1"/>
    <row r="7" spans="1:16" ht="15.75" customHeight="1" thickBot="1">
      <c r="A7" s="842" t="s">
        <v>0</v>
      </c>
      <c r="B7" s="844" t="s">
        <v>61</v>
      </c>
      <c r="C7" s="321" t="s">
        <v>52</v>
      </c>
      <c r="D7" s="846" t="s">
        <v>53</v>
      </c>
      <c r="E7" s="838" t="s">
        <v>50</v>
      </c>
      <c r="F7" s="840"/>
      <c r="G7" s="838" t="s">
        <v>54</v>
      </c>
      <c r="H7" s="840"/>
      <c r="I7" s="838" t="s">
        <v>55</v>
      </c>
      <c r="J7" s="840"/>
      <c r="K7" s="830" t="s">
        <v>56</v>
      </c>
      <c r="L7" s="830" t="s">
        <v>57</v>
      </c>
      <c r="M7" s="830" t="s">
        <v>58</v>
      </c>
      <c r="O7" s="832" t="s">
        <v>148</v>
      </c>
      <c r="P7" s="834" t="s">
        <v>149</v>
      </c>
    </row>
    <row r="8" spans="1:16" ht="10.8" thickBot="1">
      <c r="A8" s="843"/>
      <c r="B8" s="845"/>
      <c r="C8" s="282"/>
      <c r="D8" s="847"/>
      <c r="E8" s="281" t="s">
        <v>59</v>
      </c>
      <c r="F8" s="282" t="s">
        <v>56</v>
      </c>
      <c r="G8" s="570" t="s">
        <v>60</v>
      </c>
      <c r="H8" s="282" t="s">
        <v>56</v>
      </c>
      <c r="I8" s="364" t="s">
        <v>60</v>
      </c>
      <c r="J8" s="282" t="s">
        <v>56</v>
      </c>
      <c r="K8" s="831"/>
      <c r="L8" s="831"/>
      <c r="M8" s="831"/>
      <c r="O8" s="853"/>
      <c r="P8" s="854"/>
    </row>
    <row r="9" spans="1:16" ht="10.8" thickBot="1">
      <c r="A9" s="322" t="s">
        <v>1</v>
      </c>
      <c r="B9" s="332">
        <v>2</v>
      </c>
      <c r="C9" s="280" t="s">
        <v>2</v>
      </c>
      <c r="D9" s="280" t="s">
        <v>3</v>
      </c>
      <c r="E9" s="287" t="s">
        <v>14</v>
      </c>
      <c r="F9" s="280" t="s">
        <v>4</v>
      </c>
      <c r="G9" s="287">
        <v>7</v>
      </c>
      <c r="H9" s="280" t="s">
        <v>6</v>
      </c>
      <c r="I9" s="279">
        <v>9</v>
      </c>
      <c r="J9" s="279" t="s">
        <v>9</v>
      </c>
      <c r="K9" s="279" t="s">
        <v>9</v>
      </c>
      <c r="L9" s="279" t="s">
        <v>27</v>
      </c>
      <c r="M9" s="279" t="s">
        <v>25</v>
      </c>
      <c r="O9" s="318" t="s">
        <v>18</v>
      </c>
      <c r="P9" s="274" t="s">
        <v>26</v>
      </c>
    </row>
    <row r="10" spans="1:16" ht="10.8" thickBot="1">
      <c r="A10" s="288"/>
      <c r="B10" s="54"/>
      <c r="C10" s="54"/>
      <c r="D10" s="286"/>
      <c r="E10" s="288"/>
      <c r="F10" s="54"/>
      <c r="G10" s="365"/>
      <c r="H10" s="54"/>
      <c r="I10" s="366"/>
      <c r="J10" s="288"/>
      <c r="K10" s="129"/>
      <c r="L10" s="129"/>
      <c r="M10" s="129"/>
      <c r="O10" s="177"/>
      <c r="P10" s="365"/>
    </row>
    <row r="11" spans="1:16" ht="29.1" customHeight="1" thickBot="1">
      <c r="A11" s="850" t="s">
        <v>34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2"/>
      <c r="O11" s="607"/>
      <c r="P11" s="608"/>
    </row>
    <row r="12" spans="1:16" s="5" customFormat="1" ht="20.4">
      <c r="A12" s="617">
        <v>1</v>
      </c>
      <c r="B12" s="324"/>
      <c r="C12" s="352" t="s">
        <v>94</v>
      </c>
      <c r="D12" s="303" t="s">
        <v>81</v>
      </c>
      <c r="E12" s="303"/>
      <c r="F12" s="300">
        <f>SUM(F13:F16)</f>
        <v>8850.3</v>
      </c>
      <c r="G12" s="343"/>
      <c r="H12" s="300"/>
      <c r="I12" s="343">
        <f>P12/$K$4</f>
        <v>0</v>
      </c>
      <c r="J12" s="300">
        <f>F12*I12</f>
        <v>0</v>
      </c>
      <c r="K12" s="130">
        <f>H12+J12</f>
        <v>0</v>
      </c>
      <c r="L12" s="137">
        <f>SUM(K12:K19)</f>
        <v>0</v>
      </c>
      <c r="M12" s="137">
        <f>L12/F12</f>
        <v>0</v>
      </c>
      <c r="O12" s="170"/>
      <c r="P12" s="272"/>
    </row>
    <row r="13" spans="1:16" s="5" customFormat="1" ht="15.75" outlineLevel="1">
      <c r="A13" s="618"/>
      <c r="B13" s="93"/>
      <c r="C13" s="345" t="s">
        <v>90</v>
      </c>
      <c r="D13" s="305" t="s">
        <v>81</v>
      </c>
      <c r="E13" s="96"/>
      <c r="F13" s="813">
        <v>2158.3</v>
      </c>
      <c r="G13" s="212"/>
      <c r="H13" s="294"/>
      <c r="I13" s="212"/>
      <c r="J13" s="294"/>
      <c r="K13" s="131"/>
      <c r="L13" s="138"/>
      <c r="M13" s="138"/>
      <c r="O13" s="179"/>
      <c r="P13" s="271"/>
    </row>
    <row r="14" spans="1:16" s="5" customFormat="1" ht="15.75" outlineLevel="1">
      <c r="A14" s="618"/>
      <c r="B14" s="93"/>
      <c r="C14" s="345" t="s">
        <v>93</v>
      </c>
      <c r="D14" s="305" t="s">
        <v>81</v>
      </c>
      <c r="E14" s="96"/>
      <c r="F14" s="813">
        <v>2947</v>
      </c>
      <c r="G14" s="212"/>
      <c r="H14" s="294"/>
      <c r="I14" s="212"/>
      <c r="J14" s="294"/>
      <c r="K14" s="131"/>
      <c r="L14" s="138"/>
      <c r="M14" s="138"/>
      <c r="O14" s="179"/>
      <c r="P14" s="271"/>
    </row>
    <row r="15" spans="1:16" s="5" customFormat="1" ht="15.75" outlineLevel="1">
      <c r="A15" s="618"/>
      <c r="B15" s="93"/>
      <c r="C15" s="345" t="s">
        <v>91</v>
      </c>
      <c r="D15" s="305" t="s">
        <v>81</v>
      </c>
      <c r="E15" s="96"/>
      <c r="F15" s="813">
        <v>2511.7</v>
      </c>
      <c r="G15" s="212"/>
      <c r="H15" s="294"/>
      <c r="I15" s="212"/>
      <c r="J15" s="294"/>
      <c r="K15" s="131"/>
      <c r="L15" s="138"/>
      <c r="M15" s="138"/>
      <c r="O15" s="179"/>
      <c r="P15" s="271"/>
    </row>
    <row r="16" spans="1:16" s="5" customFormat="1" ht="15.75" outlineLevel="1">
      <c r="A16" s="618"/>
      <c r="B16" s="93"/>
      <c r="C16" s="345" t="s">
        <v>92</v>
      </c>
      <c r="D16" s="305" t="s">
        <v>81</v>
      </c>
      <c r="E16" s="96"/>
      <c r="F16" s="813">
        <v>1233.3</v>
      </c>
      <c r="G16" s="212"/>
      <c r="H16" s="294"/>
      <c r="I16" s="212"/>
      <c r="J16" s="294"/>
      <c r="K16" s="131"/>
      <c r="L16" s="138"/>
      <c r="M16" s="138"/>
      <c r="O16" s="179"/>
      <c r="P16" s="271"/>
    </row>
    <row r="17" spans="1:16" s="451" customFormat="1" ht="15.75">
      <c r="A17" s="618"/>
      <c r="B17" s="93"/>
      <c r="C17" s="372" t="s">
        <v>96</v>
      </c>
      <c r="D17" s="305" t="s">
        <v>75</v>
      </c>
      <c r="E17" s="539">
        <f>0.03*1.03</f>
        <v>0.0309</v>
      </c>
      <c r="F17" s="540">
        <f>$F$12*E17</f>
        <v>273.47427</v>
      </c>
      <c r="G17" s="373">
        <f>O17/$K$4</f>
        <v>0</v>
      </c>
      <c r="H17" s="382">
        <f>G17*F17</f>
        <v>0</v>
      </c>
      <c r="I17" s="543"/>
      <c r="J17" s="382"/>
      <c r="K17" s="258">
        <f>J17+H17</f>
        <v>0</v>
      </c>
      <c r="L17" s="138"/>
      <c r="M17" s="138"/>
      <c r="O17" s="453"/>
      <c r="P17" s="543"/>
    </row>
    <row r="18" spans="1:16" ht="15.75">
      <c r="A18" s="619"/>
      <c r="B18" s="94"/>
      <c r="C18" s="219" t="s">
        <v>88</v>
      </c>
      <c r="D18" s="260" t="s">
        <v>81</v>
      </c>
      <c r="E18" s="369">
        <v>1.1</v>
      </c>
      <c r="F18" s="368">
        <f>E18*F12</f>
        <v>9735.33</v>
      </c>
      <c r="G18" s="373">
        <f>O18/$K$4</f>
        <v>0</v>
      </c>
      <c r="H18" s="312">
        <f>G18*F18</f>
        <v>0</v>
      </c>
      <c r="I18" s="315"/>
      <c r="J18" s="301"/>
      <c r="K18" s="131">
        <f>J18+H18</f>
        <v>0</v>
      </c>
      <c r="L18" s="139"/>
      <c r="M18" s="139"/>
      <c r="O18" s="179"/>
      <c r="P18" s="269"/>
    </row>
    <row r="19" spans="1:16" ht="10.8" thickBot="1">
      <c r="A19" s="619"/>
      <c r="B19" s="94"/>
      <c r="C19" s="219" t="s">
        <v>97</v>
      </c>
      <c r="D19" s="260" t="s">
        <v>75</v>
      </c>
      <c r="E19" s="369">
        <f>0.04*1.02</f>
        <v>0.0408</v>
      </c>
      <c r="F19" s="368">
        <f>E19*F12</f>
        <v>361.09224</v>
      </c>
      <c r="G19" s="373">
        <f>O19/$K$4</f>
        <v>0</v>
      </c>
      <c r="H19" s="312">
        <f>G19*F19</f>
        <v>0</v>
      </c>
      <c r="I19" s="315"/>
      <c r="J19" s="301"/>
      <c r="K19" s="131">
        <f>J19+H19</f>
        <v>0</v>
      </c>
      <c r="L19" s="139"/>
      <c r="M19" s="139"/>
      <c r="O19" s="604"/>
      <c r="P19" s="257"/>
    </row>
    <row r="20" spans="1:16" s="5" customFormat="1" ht="20.4">
      <c r="A20" s="617">
        <v>2</v>
      </c>
      <c r="B20" s="324"/>
      <c r="C20" s="352" t="s">
        <v>95</v>
      </c>
      <c r="D20" s="306" t="s">
        <v>81</v>
      </c>
      <c r="E20" s="303"/>
      <c r="F20" s="300">
        <f>SUM(F21:F25)</f>
        <v>537.8</v>
      </c>
      <c r="G20" s="343"/>
      <c r="H20" s="300"/>
      <c r="I20" s="343">
        <f>P20/$K$4</f>
        <v>0</v>
      </c>
      <c r="J20" s="300">
        <f>F20*I20</f>
        <v>0</v>
      </c>
      <c r="K20" s="130">
        <f>H20+J20</f>
        <v>0</v>
      </c>
      <c r="L20" s="137">
        <f>SUM(K20:K29)</f>
        <v>0</v>
      </c>
      <c r="M20" s="137">
        <f>L20/F20</f>
        <v>0</v>
      </c>
      <c r="O20" s="170"/>
      <c r="P20" s="272"/>
    </row>
    <row r="21" spans="1:16" s="5" customFormat="1" ht="15.75" outlineLevel="1">
      <c r="A21" s="618"/>
      <c r="B21" s="93"/>
      <c r="C21" s="345" t="str">
        <f>C13</f>
        <v>დონე +0.00 (0 სართული)</v>
      </c>
      <c r="D21" s="260" t="s">
        <v>81</v>
      </c>
      <c r="E21" s="96"/>
      <c r="F21" s="308">
        <f>67.2</f>
        <v>67.2</v>
      </c>
      <c r="G21" s="212"/>
      <c r="H21" s="294"/>
      <c r="I21" s="212"/>
      <c r="J21" s="294"/>
      <c r="K21" s="131"/>
      <c r="L21" s="138"/>
      <c r="M21" s="138"/>
      <c r="O21" s="179"/>
      <c r="P21" s="271"/>
    </row>
    <row r="22" spans="1:16" s="5" customFormat="1" ht="15.75" outlineLevel="1">
      <c r="A22" s="618"/>
      <c r="B22" s="93"/>
      <c r="C22" s="345" t="str">
        <f>C14</f>
        <v>დონე +4.38 (+1 სართული)</v>
      </c>
      <c r="D22" s="260" t="s">
        <v>81</v>
      </c>
      <c r="E22" s="96"/>
      <c r="F22" s="308">
        <f aca="true" t="shared" si="0" ref="F22:F24">67.2*2</f>
        <v>134.4</v>
      </c>
      <c r="G22" s="212"/>
      <c r="H22" s="294"/>
      <c r="I22" s="212"/>
      <c r="J22" s="294"/>
      <c r="K22" s="131"/>
      <c r="L22" s="138"/>
      <c r="M22" s="138"/>
      <c r="O22" s="179"/>
      <c r="P22" s="271"/>
    </row>
    <row r="23" spans="1:16" s="5" customFormat="1" ht="15.75" outlineLevel="1">
      <c r="A23" s="618"/>
      <c r="B23" s="93"/>
      <c r="C23" s="345" t="str">
        <f>C15</f>
        <v>დონე +9.68 (+2 სართული)</v>
      </c>
      <c r="D23" s="260" t="s">
        <v>81</v>
      </c>
      <c r="E23" s="96"/>
      <c r="F23" s="308">
        <f t="shared" si="0"/>
        <v>134.4</v>
      </c>
      <c r="G23" s="212"/>
      <c r="H23" s="294"/>
      <c r="I23" s="212"/>
      <c r="J23" s="294"/>
      <c r="K23" s="131"/>
      <c r="L23" s="138"/>
      <c r="M23" s="138"/>
      <c r="O23" s="179"/>
      <c r="P23" s="271"/>
    </row>
    <row r="24" spans="1:16" s="451" customFormat="1" ht="15.75" outlineLevel="1">
      <c r="A24" s="618"/>
      <c r="B24" s="93"/>
      <c r="C24" s="345" t="str">
        <f>C16</f>
        <v>დონე +14.98 (+3 სართული)</v>
      </c>
      <c r="D24" s="260" t="s">
        <v>81</v>
      </c>
      <c r="E24" s="96"/>
      <c r="F24" s="308">
        <f t="shared" si="0"/>
        <v>134.4</v>
      </c>
      <c r="G24" s="212"/>
      <c r="H24" s="294"/>
      <c r="I24" s="212"/>
      <c r="J24" s="294"/>
      <c r="K24" s="131"/>
      <c r="L24" s="138"/>
      <c r="M24" s="138"/>
      <c r="O24" s="179"/>
      <c r="P24" s="271"/>
    </row>
    <row r="25" spans="1:16" s="5" customFormat="1" ht="15.75" outlineLevel="1">
      <c r="A25" s="618"/>
      <c r="B25" s="93"/>
      <c r="C25" s="345" t="s">
        <v>258</v>
      </c>
      <c r="D25" s="260" t="s">
        <v>81</v>
      </c>
      <c r="E25" s="96"/>
      <c r="F25" s="308">
        <v>67.4</v>
      </c>
      <c r="G25" s="212"/>
      <c r="H25" s="294"/>
      <c r="I25" s="212"/>
      <c r="J25" s="294"/>
      <c r="K25" s="131"/>
      <c r="L25" s="138"/>
      <c r="M25" s="138"/>
      <c r="O25" s="179"/>
      <c r="P25" s="271"/>
    </row>
    <row r="26" spans="1:16" s="5" customFormat="1" ht="15.75" outlineLevel="1">
      <c r="A26" s="620"/>
      <c r="B26" s="93"/>
      <c r="C26" s="372" t="s">
        <v>96</v>
      </c>
      <c r="D26" s="305" t="s">
        <v>75</v>
      </c>
      <c r="E26" s="539">
        <f>0.03*1.03</f>
        <v>0.0309</v>
      </c>
      <c r="F26" s="368">
        <f>($F$20)*E26</f>
        <v>16.618019999999998</v>
      </c>
      <c r="G26" s="315">
        <f>O26/$K$4</f>
        <v>0</v>
      </c>
      <c r="H26" s="312">
        <f>G26*F26</f>
        <v>0</v>
      </c>
      <c r="I26" s="373"/>
      <c r="J26" s="312"/>
      <c r="K26" s="131">
        <f>J26+H26</f>
        <v>0</v>
      </c>
      <c r="L26" s="138"/>
      <c r="M26" s="138"/>
      <c r="O26" s="453"/>
      <c r="P26" s="373"/>
    </row>
    <row r="27" spans="1:16" ht="15.75">
      <c r="A27" s="619"/>
      <c r="B27" s="94"/>
      <c r="C27" s="219" t="s">
        <v>88</v>
      </c>
      <c r="D27" s="260" t="s">
        <v>81</v>
      </c>
      <c r="E27" s="369">
        <v>1.1</v>
      </c>
      <c r="F27" s="301">
        <f>E27*F20</f>
        <v>591.58</v>
      </c>
      <c r="G27" s="315">
        <f>O27/$K$4</f>
        <v>0</v>
      </c>
      <c r="H27" s="312">
        <f>G27*F27</f>
        <v>0</v>
      </c>
      <c r="I27" s="315"/>
      <c r="J27" s="301"/>
      <c r="K27" s="131">
        <f>H27+J27</f>
        <v>0</v>
      </c>
      <c r="L27" s="139"/>
      <c r="M27" s="139"/>
      <c r="O27" s="179"/>
      <c r="P27" s="269"/>
    </row>
    <row r="28" spans="1:16" ht="15.75">
      <c r="A28" s="619"/>
      <c r="B28" s="94"/>
      <c r="C28" s="372" t="s">
        <v>98</v>
      </c>
      <c r="D28" s="305" t="s">
        <v>81</v>
      </c>
      <c r="E28" s="369">
        <v>1.1</v>
      </c>
      <c r="F28" s="301">
        <f>E28*F20</f>
        <v>591.58</v>
      </c>
      <c r="G28" s="315">
        <f>O28/$K$4</f>
        <v>0</v>
      </c>
      <c r="H28" s="312">
        <f>G28*F28</f>
        <v>0</v>
      </c>
      <c r="I28" s="315"/>
      <c r="J28" s="301"/>
      <c r="K28" s="131">
        <f>H28+J28</f>
        <v>0</v>
      </c>
      <c r="L28" s="139"/>
      <c r="M28" s="139"/>
      <c r="O28" s="179"/>
      <c r="P28" s="269"/>
    </row>
    <row r="29" spans="1:16" ht="10.8" thickBot="1">
      <c r="A29" s="619"/>
      <c r="B29" s="94"/>
      <c r="C29" s="219" t="s">
        <v>97</v>
      </c>
      <c r="D29" s="260" t="s">
        <v>75</v>
      </c>
      <c r="E29" s="369">
        <f>0.04*1.02</f>
        <v>0.0408</v>
      </c>
      <c r="F29" s="302">
        <f>$F$20*E29</f>
        <v>21.942239999999998</v>
      </c>
      <c r="G29" s="374">
        <f>O29/$K$4</f>
        <v>0</v>
      </c>
      <c r="H29" s="302">
        <f>F29*G29</f>
        <v>0</v>
      </c>
      <c r="I29" s="374"/>
      <c r="J29" s="302"/>
      <c r="K29" s="255">
        <f>H29+J29</f>
        <v>0</v>
      </c>
      <c r="L29" s="139"/>
      <c r="M29" s="139"/>
      <c r="O29" s="604"/>
      <c r="P29" s="605"/>
    </row>
    <row r="30" spans="1:16" s="5" customFormat="1" ht="15.75">
      <c r="A30" s="617">
        <v>3</v>
      </c>
      <c r="B30" s="324"/>
      <c r="C30" s="352" t="s">
        <v>104</v>
      </c>
      <c r="D30" s="306" t="s">
        <v>81</v>
      </c>
      <c r="E30" s="50"/>
      <c r="F30" s="300">
        <v>5737.8</v>
      </c>
      <c r="G30" s="95"/>
      <c r="H30" s="88"/>
      <c r="I30" s="343">
        <f>P30/$K$4</f>
        <v>0</v>
      </c>
      <c r="J30" s="300">
        <f>F30*I30</f>
        <v>0</v>
      </c>
      <c r="K30" s="130">
        <f>H30+J30</f>
        <v>0</v>
      </c>
      <c r="L30" s="137">
        <f>SUM(K30:K34)</f>
        <v>0</v>
      </c>
      <c r="M30" s="137">
        <f>L30/F30</f>
        <v>0</v>
      </c>
      <c r="O30" s="170"/>
      <c r="P30" s="272"/>
    </row>
    <row r="31" spans="1:16" s="5" customFormat="1" ht="15.75" outlineLevel="1">
      <c r="A31" s="618"/>
      <c r="B31" s="93"/>
      <c r="C31" s="219" t="s">
        <v>103</v>
      </c>
      <c r="D31" s="260" t="s">
        <v>75</v>
      </c>
      <c r="E31" s="369">
        <f>0.05*1.02</f>
        <v>0.051000000000000004</v>
      </c>
      <c r="F31" s="368">
        <f>E31*F30</f>
        <v>292.62780000000004</v>
      </c>
      <c r="G31" s="315">
        <f>O31/$K$4</f>
        <v>0</v>
      </c>
      <c r="H31" s="312">
        <f>G31*F31</f>
        <v>0</v>
      </c>
      <c r="I31" s="373"/>
      <c r="J31" s="312"/>
      <c r="K31" s="131">
        <f>J31+H31</f>
        <v>0</v>
      </c>
      <c r="L31" s="138"/>
      <c r="M31" s="138"/>
      <c r="O31" s="179"/>
      <c r="P31" s="373"/>
    </row>
    <row r="32" spans="1:16" ht="15.75">
      <c r="A32" s="619"/>
      <c r="B32" s="94"/>
      <c r="C32" s="372" t="s">
        <v>101</v>
      </c>
      <c r="D32" s="305" t="s">
        <v>81</v>
      </c>
      <c r="E32" s="369">
        <v>1.05</v>
      </c>
      <c r="F32" s="301">
        <f>E32*F30</f>
        <v>6024.6900000000005</v>
      </c>
      <c r="G32" s="315">
        <f aca="true" t="shared" si="1" ref="G32:G34">O32/$K$4</f>
        <v>0</v>
      </c>
      <c r="H32" s="301">
        <f>F32*G32</f>
        <v>0</v>
      </c>
      <c r="I32" s="315"/>
      <c r="J32" s="301"/>
      <c r="K32" s="131">
        <f>H32+J32</f>
        <v>0</v>
      </c>
      <c r="L32" s="139"/>
      <c r="M32" s="139"/>
      <c r="O32" s="179"/>
      <c r="P32" s="269"/>
    </row>
    <row r="33" spans="1:16" ht="15.75">
      <c r="A33" s="619"/>
      <c r="B33" s="94"/>
      <c r="C33" s="372" t="s">
        <v>100</v>
      </c>
      <c r="D33" s="305" t="s">
        <v>81</v>
      </c>
      <c r="E33" s="369">
        <v>2.2</v>
      </c>
      <c r="F33" s="301">
        <f>E33*F30</f>
        <v>12623.160000000002</v>
      </c>
      <c r="G33" s="315">
        <f t="shared" si="1"/>
        <v>0</v>
      </c>
      <c r="H33" s="301">
        <f>F33*G33</f>
        <v>0</v>
      </c>
      <c r="I33" s="315"/>
      <c r="J33" s="301"/>
      <c r="K33" s="131">
        <f>H33+J33</f>
        <v>0</v>
      </c>
      <c r="L33" s="139"/>
      <c r="M33" s="139"/>
      <c r="O33" s="179"/>
      <c r="P33" s="269"/>
    </row>
    <row r="34" spans="1:16" ht="10.8" thickBot="1">
      <c r="A34" s="619"/>
      <c r="B34" s="94"/>
      <c r="C34" s="219" t="s">
        <v>102</v>
      </c>
      <c r="D34" s="260" t="s">
        <v>75</v>
      </c>
      <c r="E34" s="369">
        <f>0.07*1.02</f>
        <v>0.0714</v>
      </c>
      <c r="F34" s="368">
        <f>E34*F30</f>
        <v>409.67892000000006</v>
      </c>
      <c r="G34" s="315">
        <f t="shared" si="1"/>
        <v>0</v>
      </c>
      <c r="H34" s="312">
        <f>G34*F34</f>
        <v>0</v>
      </c>
      <c r="I34" s="315"/>
      <c r="J34" s="301"/>
      <c r="K34" s="131">
        <f>J34+H34</f>
        <v>0</v>
      </c>
      <c r="L34" s="139"/>
      <c r="M34" s="139"/>
      <c r="O34" s="604"/>
      <c r="P34" s="269"/>
    </row>
    <row r="35" spans="1:16" s="451" customFormat="1" ht="15.75">
      <c r="A35" s="445">
        <v>4</v>
      </c>
      <c r="B35" s="346"/>
      <c r="C35" s="48" t="s">
        <v>85</v>
      </c>
      <c r="D35" s="303" t="s">
        <v>66</v>
      </c>
      <c r="E35" s="303"/>
      <c r="F35" s="300">
        <f>SUM(F36:F40)</f>
        <v>1071</v>
      </c>
      <c r="G35" s="343"/>
      <c r="H35" s="300"/>
      <c r="I35" s="343">
        <f>P35/$K$4</f>
        <v>0</v>
      </c>
      <c r="J35" s="300">
        <f>F35*I35</f>
        <v>0</v>
      </c>
      <c r="K35" s="130">
        <f>H35+J35</f>
        <v>0</v>
      </c>
      <c r="L35" s="137">
        <f>SUM(K35:K42)</f>
        <v>0</v>
      </c>
      <c r="M35" s="137">
        <f>L35/F35</f>
        <v>0</v>
      </c>
      <c r="O35" s="170"/>
      <c r="P35" s="272"/>
    </row>
    <row r="36" spans="1:16" s="451" customFormat="1" ht="15.75" outlineLevel="1">
      <c r="A36" s="90"/>
      <c r="B36" s="347"/>
      <c r="C36" s="521" t="str">
        <f>C21</f>
        <v>დონე +0.00 (0 სართული)</v>
      </c>
      <c r="D36" s="305" t="s">
        <v>66</v>
      </c>
      <c r="E36" s="96"/>
      <c r="F36" s="308">
        <v>251</v>
      </c>
      <c r="G36" s="212"/>
      <c r="H36" s="294"/>
      <c r="I36" s="212"/>
      <c r="J36" s="294"/>
      <c r="K36" s="131"/>
      <c r="L36" s="138"/>
      <c r="M36" s="138"/>
      <c r="O36" s="179"/>
      <c r="P36" s="271"/>
    </row>
    <row r="37" spans="1:16" s="451" customFormat="1" ht="15.75" outlineLevel="1">
      <c r="A37" s="90"/>
      <c r="B37" s="347"/>
      <c r="C37" s="521" t="str">
        <f>C22</f>
        <v>დონე +4.38 (+1 სართული)</v>
      </c>
      <c r="D37" s="305" t="s">
        <v>66</v>
      </c>
      <c r="E37" s="96"/>
      <c r="F37" s="308">
        <v>251</v>
      </c>
      <c r="G37" s="212"/>
      <c r="H37" s="294"/>
      <c r="I37" s="212"/>
      <c r="J37" s="294"/>
      <c r="K37" s="131"/>
      <c r="L37" s="138"/>
      <c r="M37" s="138"/>
      <c r="O37" s="179"/>
      <c r="P37" s="271"/>
    </row>
    <row r="38" spans="1:16" s="451" customFormat="1" ht="15.75" outlineLevel="1">
      <c r="A38" s="90"/>
      <c r="B38" s="347"/>
      <c r="C38" s="521" t="str">
        <f>C23</f>
        <v>დონე +9.68 (+2 სართული)</v>
      </c>
      <c r="D38" s="305" t="s">
        <v>66</v>
      </c>
      <c r="E38" s="96"/>
      <c r="F38" s="308">
        <v>251</v>
      </c>
      <c r="G38" s="212"/>
      <c r="H38" s="294"/>
      <c r="I38" s="212"/>
      <c r="J38" s="294"/>
      <c r="K38" s="131"/>
      <c r="L38" s="138"/>
      <c r="M38" s="138"/>
      <c r="O38" s="179"/>
      <c r="P38" s="271"/>
    </row>
    <row r="39" spans="1:16" s="451" customFormat="1" ht="15.75" outlineLevel="1">
      <c r="A39" s="90"/>
      <c r="B39" s="347"/>
      <c r="C39" s="521" t="str">
        <f aca="true" t="shared" si="2" ref="C39:C40">C24</f>
        <v>დონე +14.98 (+3 სართული)</v>
      </c>
      <c r="D39" s="305" t="s">
        <v>66</v>
      </c>
      <c r="E39" s="96"/>
      <c r="F39" s="308">
        <v>251</v>
      </c>
      <c r="G39" s="212"/>
      <c r="H39" s="294"/>
      <c r="I39" s="212"/>
      <c r="J39" s="294"/>
      <c r="K39" s="131"/>
      <c r="L39" s="138"/>
      <c r="M39" s="138"/>
      <c r="O39" s="179"/>
      <c r="P39" s="271"/>
    </row>
    <row r="40" spans="1:16" s="451" customFormat="1" ht="15.75" outlineLevel="1">
      <c r="A40" s="90"/>
      <c r="B40" s="347"/>
      <c r="C40" s="521" t="str">
        <f t="shared" si="2"/>
        <v>დონე +14.98 (+4 სართული)</v>
      </c>
      <c r="D40" s="305" t="s">
        <v>66</v>
      </c>
      <c r="E40" s="96"/>
      <c r="F40" s="308">
        <v>67</v>
      </c>
      <c r="G40" s="212"/>
      <c r="H40" s="294"/>
      <c r="I40" s="212"/>
      <c r="J40" s="294"/>
      <c r="K40" s="131"/>
      <c r="L40" s="138"/>
      <c r="M40" s="138"/>
      <c r="O40" s="179"/>
      <c r="P40" s="271"/>
    </row>
    <row r="41" spans="1:16" ht="15.75">
      <c r="A41" s="91"/>
      <c r="B41" s="349"/>
      <c r="C41" s="501" t="s">
        <v>85</v>
      </c>
      <c r="D41" s="305" t="s">
        <v>66</v>
      </c>
      <c r="E41" s="413">
        <v>1.05</v>
      </c>
      <c r="F41" s="301">
        <f>E41*F35</f>
        <v>1124.55</v>
      </c>
      <c r="G41" s="315">
        <f>O41/$K$4</f>
        <v>0</v>
      </c>
      <c r="H41" s="301">
        <f>F41*G41</f>
        <v>0</v>
      </c>
      <c r="I41" s="315"/>
      <c r="J41" s="301"/>
      <c r="K41" s="131">
        <f>H41+J41</f>
        <v>0</v>
      </c>
      <c r="L41" s="139"/>
      <c r="M41" s="139"/>
      <c r="O41" s="176"/>
      <c r="P41" s="269"/>
    </row>
    <row r="42" spans="1:16" ht="10.8" thickBot="1">
      <c r="A42" s="91"/>
      <c r="B42" s="349"/>
      <c r="C42" s="501" t="s">
        <v>33</v>
      </c>
      <c r="D42" s="502"/>
      <c r="E42" s="304">
        <v>1</v>
      </c>
      <c r="F42" s="301">
        <f>E42*F35</f>
        <v>1071</v>
      </c>
      <c r="G42" s="315">
        <f>O42/$K$4</f>
        <v>0</v>
      </c>
      <c r="H42" s="301">
        <f>F42*G42</f>
        <v>0</v>
      </c>
      <c r="I42" s="315"/>
      <c r="J42" s="301"/>
      <c r="K42" s="131">
        <f>H42+J42</f>
        <v>0</v>
      </c>
      <c r="L42" s="139"/>
      <c r="M42" s="139"/>
      <c r="O42" s="176"/>
      <c r="P42" s="269"/>
    </row>
    <row r="43" spans="1:16" ht="10.8" thickBot="1">
      <c r="A43" s="289"/>
      <c r="B43" s="288"/>
      <c r="C43" s="288"/>
      <c r="D43" s="286"/>
      <c r="E43" s="288"/>
      <c r="F43" s="54"/>
      <c r="G43" s="365"/>
      <c r="H43" s="54"/>
      <c r="I43" s="365"/>
      <c r="J43" s="54"/>
      <c r="K43" s="129"/>
      <c r="L43" s="129"/>
      <c r="M43" s="129"/>
      <c r="O43" s="177"/>
      <c r="P43" s="365"/>
    </row>
    <row r="44" spans="1:16" ht="24" thickBot="1">
      <c r="A44" s="827" t="s">
        <v>35</v>
      </c>
      <c r="B44" s="828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829"/>
      <c r="O44" s="606"/>
      <c r="P44" s="354"/>
    </row>
    <row r="45" spans="1:16" s="5" customFormat="1" ht="15.75">
      <c r="A45" s="89">
        <v>5</v>
      </c>
      <c r="B45" s="346"/>
      <c r="C45" s="352" t="s">
        <v>86</v>
      </c>
      <c r="D45" s="49" t="s">
        <v>17</v>
      </c>
      <c r="E45" s="303"/>
      <c r="F45" s="300">
        <f>SUM(F46:F49)</f>
        <v>160.72</v>
      </c>
      <c r="G45" s="343"/>
      <c r="H45" s="300"/>
      <c r="I45" s="343">
        <f>P45/$K$4</f>
        <v>0</v>
      </c>
      <c r="J45" s="300">
        <f>F45*I45</f>
        <v>0</v>
      </c>
      <c r="K45" s="130">
        <f>H45+J45</f>
        <v>0</v>
      </c>
      <c r="L45" s="137">
        <f>SUM(K45:K55)</f>
        <v>0</v>
      </c>
      <c r="M45" s="137">
        <f>L45/F45</f>
        <v>0</v>
      </c>
      <c r="O45" s="170"/>
      <c r="P45" s="272"/>
    </row>
    <row r="46" spans="1:16" s="5" customFormat="1" ht="15.75" outlineLevel="1">
      <c r="A46" s="90"/>
      <c r="B46" s="347"/>
      <c r="C46" s="345" t="str">
        <f>C21</f>
        <v>დონე +0.00 (0 სართული)</v>
      </c>
      <c r="D46" s="308" t="s">
        <v>17</v>
      </c>
      <c r="E46" s="96"/>
      <c r="F46" s="308"/>
      <c r="G46" s="212"/>
      <c r="H46" s="294"/>
      <c r="I46" s="212"/>
      <c r="J46" s="294"/>
      <c r="K46" s="131"/>
      <c r="L46" s="138"/>
      <c r="M46" s="138"/>
      <c r="O46" s="179"/>
      <c r="P46" s="271"/>
    </row>
    <row r="47" spans="1:16" s="5" customFormat="1" ht="15.75" outlineLevel="1">
      <c r="A47" s="90"/>
      <c r="B47" s="347"/>
      <c r="C47" s="345" t="str">
        <f>C22</f>
        <v>დონე +4.38 (+1 სართული)</v>
      </c>
      <c r="D47" s="308" t="s">
        <v>17</v>
      </c>
      <c r="E47" s="96"/>
      <c r="F47" s="308">
        <f>19.6*4.1</f>
        <v>80.36</v>
      </c>
      <c r="G47" s="212"/>
      <c r="H47" s="294"/>
      <c r="I47" s="212"/>
      <c r="J47" s="294"/>
      <c r="K47" s="131"/>
      <c r="L47" s="138"/>
      <c r="M47" s="138"/>
      <c r="O47" s="179"/>
      <c r="P47" s="271"/>
    </row>
    <row r="48" spans="1:16" s="5" customFormat="1" ht="15.75" outlineLevel="1">
      <c r="A48" s="90"/>
      <c r="B48" s="347"/>
      <c r="C48" s="345" t="str">
        <f>C23</f>
        <v>დონე +9.68 (+2 სართული)</v>
      </c>
      <c r="D48" s="308" t="s">
        <v>17</v>
      </c>
      <c r="E48" s="96"/>
      <c r="F48" s="308">
        <f>19.6*4.1</f>
        <v>80.36</v>
      </c>
      <c r="G48" s="212"/>
      <c r="H48" s="294"/>
      <c r="I48" s="212"/>
      <c r="J48" s="294"/>
      <c r="K48" s="131"/>
      <c r="L48" s="138"/>
      <c r="M48" s="138"/>
      <c r="O48" s="179"/>
      <c r="P48" s="271"/>
    </row>
    <row r="49" spans="1:16" s="5" customFormat="1" ht="15.75" outlineLevel="1">
      <c r="A49" s="90"/>
      <c r="B49" s="347"/>
      <c r="C49" s="345" t="str">
        <f>C24</f>
        <v>დონე +14.98 (+3 სართული)</v>
      </c>
      <c r="D49" s="308" t="s">
        <v>17</v>
      </c>
      <c r="E49" s="96"/>
      <c r="F49" s="308"/>
      <c r="G49" s="212"/>
      <c r="H49" s="294"/>
      <c r="I49" s="212"/>
      <c r="J49" s="294"/>
      <c r="K49" s="131"/>
      <c r="L49" s="138"/>
      <c r="M49" s="138"/>
      <c r="O49" s="179"/>
      <c r="P49" s="271"/>
    </row>
    <row r="50" spans="1:16" ht="15.75">
      <c r="A50" s="91"/>
      <c r="B50" s="414"/>
      <c r="C50" s="219" t="s">
        <v>72</v>
      </c>
      <c r="D50" s="502" t="s">
        <v>73</v>
      </c>
      <c r="E50" s="571">
        <v>12.5</v>
      </c>
      <c r="F50" s="326">
        <f>$F$45*E50</f>
        <v>2009</v>
      </c>
      <c r="G50" s="342">
        <f aca="true" t="shared" si="3" ref="G50:G54">O50/$K$4</f>
        <v>0</v>
      </c>
      <c r="H50" s="326">
        <f aca="true" t="shared" si="4" ref="H50:H55">F50*G50</f>
        <v>0</v>
      </c>
      <c r="I50" s="342"/>
      <c r="J50" s="326">
        <f aca="true" t="shared" si="5" ref="J50:J55">F50*I50</f>
        <v>0</v>
      </c>
      <c r="K50" s="258">
        <f aca="true" t="shared" si="6" ref="K50:K55">H50+J50</f>
        <v>0</v>
      </c>
      <c r="L50" s="139"/>
      <c r="M50" s="139"/>
      <c r="O50" s="259"/>
      <c r="P50" s="263"/>
    </row>
    <row r="51" spans="1:16" ht="15.75">
      <c r="A51" s="91"/>
      <c r="B51" s="414"/>
      <c r="C51" s="219" t="s">
        <v>74</v>
      </c>
      <c r="D51" s="328" t="s">
        <v>75</v>
      </c>
      <c r="E51" s="544">
        <v>0.01</v>
      </c>
      <c r="F51" s="326">
        <f aca="true" t="shared" si="7" ref="F51:F55">$F$45*E51</f>
        <v>1.6072</v>
      </c>
      <c r="G51" s="342">
        <f t="shared" si="3"/>
        <v>0</v>
      </c>
      <c r="H51" s="326">
        <f t="shared" si="4"/>
        <v>0</v>
      </c>
      <c r="I51" s="342"/>
      <c r="J51" s="326">
        <f t="shared" si="5"/>
        <v>0</v>
      </c>
      <c r="K51" s="258">
        <f t="shared" si="6"/>
        <v>0</v>
      </c>
      <c r="L51" s="139"/>
      <c r="M51" s="139"/>
      <c r="O51" s="259"/>
      <c r="P51" s="263"/>
    </row>
    <row r="52" spans="1:16" ht="15.75">
      <c r="A52" s="91"/>
      <c r="B52" s="414"/>
      <c r="C52" s="219" t="s">
        <v>76</v>
      </c>
      <c r="D52" s="502" t="s">
        <v>77</v>
      </c>
      <c r="E52" s="369">
        <v>0.0033</v>
      </c>
      <c r="F52" s="326">
        <f t="shared" si="7"/>
        <v>0.530376</v>
      </c>
      <c r="G52" s="342">
        <f t="shared" si="3"/>
        <v>0</v>
      </c>
      <c r="H52" s="326">
        <f t="shared" si="4"/>
        <v>0</v>
      </c>
      <c r="I52" s="342"/>
      <c r="J52" s="326">
        <f t="shared" si="5"/>
        <v>0</v>
      </c>
      <c r="K52" s="258">
        <f t="shared" si="6"/>
        <v>0</v>
      </c>
      <c r="L52" s="139"/>
      <c r="M52" s="139"/>
      <c r="O52" s="259"/>
      <c r="P52" s="263"/>
    </row>
    <row r="53" spans="1:16" ht="15.75">
      <c r="A53" s="405"/>
      <c r="B53" s="597"/>
      <c r="C53" s="219" t="s">
        <v>78</v>
      </c>
      <c r="D53" s="502" t="s">
        <v>77</v>
      </c>
      <c r="E53" s="594">
        <v>0.003</v>
      </c>
      <c r="F53" s="326">
        <f t="shared" si="7"/>
        <v>0.48216000000000003</v>
      </c>
      <c r="G53" s="342">
        <f t="shared" si="3"/>
        <v>0</v>
      </c>
      <c r="H53" s="599">
        <f t="shared" si="4"/>
        <v>0</v>
      </c>
      <c r="I53" s="601"/>
      <c r="J53" s="599">
        <f t="shared" si="5"/>
        <v>0</v>
      </c>
      <c r="K53" s="258">
        <f t="shared" si="6"/>
        <v>0</v>
      </c>
      <c r="L53" s="139"/>
      <c r="M53" s="139"/>
      <c r="O53" s="591"/>
      <c r="P53" s="603"/>
    </row>
    <row r="54" spans="1:16" ht="20.4">
      <c r="A54" s="91"/>
      <c r="B54" s="414"/>
      <c r="C54" s="219" t="s">
        <v>79</v>
      </c>
      <c r="D54" s="502" t="s">
        <v>77</v>
      </c>
      <c r="E54" s="544">
        <v>0.007</v>
      </c>
      <c r="F54" s="326">
        <f t="shared" si="7"/>
        <v>1.12504</v>
      </c>
      <c r="G54" s="342">
        <f t="shared" si="3"/>
        <v>0</v>
      </c>
      <c r="H54" s="326">
        <f t="shared" si="4"/>
        <v>0</v>
      </c>
      <c r="I54" s="342"/>
      <c r="J54" s="326">
        <f t="shared" si="5"/>
        <v>0</v>
      </c>
      <c r="K54" s="557">
        <f t="shared" si="6"/>
        <v>0</v>
      </c>
      <c r="L54" s="139"/>
      <c r="M54" s="139"/>
      <c r="O54" s="259"/>
      <c r="P54" s="263"/>
    </row>
    <row r="55" spans="1:16" ht="10.8" thickBot="1">
      <c r="A55" s="598"/>
      <c r="B55" s="86"/>
      <c r="C55" s="592" t="s">
        <v>80</v>
      </c>
      <c r="D55" s="328" t="s">
        <v>81</v>
      </c>
      <c r="E55" s="595">
        <v>0.03</v>
      </c>
      <c r="F55" s="326">
        <f t="shared" si="7"/>
        <v>4.8216</v>
      </c>
      <c r="G55" s="342">
        <f>O55/$K$4</f>
        <v>0</v>
      </c>
      <c r="H55" s="326">
        <f t="shared" si="4"/>
        <v>0</v>
      </c>
      <c r="I55" s="602"/>
      <c r="J55" s="326">
        <f t="shared" si="5"/>
        <v>0</v>
      </c>
      <c r="K55" s="557">
        <f t="shared" si="6"/>
        <v>0</v>
      </c>
      <c r="L55" s="140"/>
      <c r="M55" s="140"/>
      <c r="O55" s="593"/>
      <c r="P55" s="442"/>
    </row>
    <row r="56" spans="1:16" s="5" customFormat="1" ht="15.75">
      <c r="A56" s="89">
        <v>6</v>
      </c>
      <c r="B56" s="346"/>
      <c r="C56" s="352" t="s">
        <v>87</v>
      </c>
      <c r="D56" s="306" t="s">
        <v>17</v>
      </c>
      <c r="E56" s="303"/>
      <c r="F56" s="300">
        <f>SUM(F57:F61)</f>
        <v>5553.5</v>
      </c>
      <c r="G56" s="343"/>
      <c r="H56" s="300"/>
      <c r="I56" s="343">
        <f>P56/$K$4</f>
        <v>0</v>
      </c>
      <c r="J56" s="300">
        <f aca="true" t="shared" si="8" ref="J56">F56*I56</f>
        <v>0</v>
      </c>
      <c r="K56" s="130">
        <f>H56+J56</f>
        <v>0</v>
      </c>
      <c r="L56" s="137">
        <f>SUM(K56:K67)</f>
        <v>0</v>
      </c>
      <c r="M56" s="137">
        <f>L56/F56</f>
        <v>0</v>
      </c>
      <c r="O56" s="170"/>
      <c r="P56" s="520"/>
    </row>
    <row r="57" spans="1:16" s="5" customFormat="1" ht="15.75">
      <c r="A57" s="92"/>
      <c r="B57" s="347"/>
      <c r="C57" s="353" t="str">
        <f>C21</f>
        <v>დონე +0.00 (0 სართული)</v>
      </c>
      <c r="D57" s="308" t="s">
        <v>17</v>
      </c>
      <c r="E57" s="96"/>
      <c r="F57" s="416">
        <f>185*4.1</f>
        <v>758.4999999999999</v>
      </c>
      <c r="G57" s="373"/>
      <c r="H57" s="312"/>
      <c r="I57" s="373"/>
      <c r="J57" s="312"/>
      <c r="K57" s="131"/>
      <c r="L57" s="138"/>
      <c r="M57" s="138"/>
      <c r="N57" s="451"/>
      <c r="O57" s="179"/>
      <c r="P57" s="271"/>
    </row>
    <row r="58" spans="1:16" s="5" customFormat="1" ht="15.75" outlineLevel="1">
      <c r="A58" s="90"/>
      <c r="B58" s="347"/>
      <c r="C58" s="353" t="str">
        <f>C22</f>
        <v>დონე +4.38 (+1 სართული)</v>
      </c>
      <c r="D58" s="308" t="s">
        <v>17</v>
      </c>
      <c r="E58" s="96"/>
      <c r="F58" s="308">
        <f>246*4.1</f>
        <v>1008.5999999999999</v>
      </c>
      <c r="G58" s="212"/>
      <c r="H58" s="294"/>
      <c r="I58" s="212"/>
      <c r="J58" s="294"/>
      <c r="K58" s="131"/>
      <c r="L58" s="138"/>
      <c r="M58" s="138"/>
      <c r="O58" s="179"/>
      <c r="P58" s="271"/>
    </row>
    <row r="59" spans="1:16" s="5" customFormat="1" ht="15.75" outlineLevel="1">
      <c r="A59" s="90"/>
      <c r="B59" s="347"/>
      <c r="C59" s="353" t="str">
        <f>C23</f>
        <v>დონე +9.68 (+2 სართული)</v>
      </c>
      <c r="D59" s="308" t="s">
        <v>17</v>
      </c>
      <c r="E59" s="96"/>
      <c r="F59" s="308">
        <f>246*4.1</f>
        <v>1008.5999999999999</v>
      </c>
      <c r="G59" s="212"/>
      <c r="H59" s="294"/>
      <c r="I59" s="212"/>
      <c r="J59" s="294"/>
      <c r="K59" s="131"/>
      <c r="L59" s="138"/>
      <c r="M59" s="138"/>
      <c r="O59" s="179"/>
      <c r="P59" s="271"/>
    </row>
    <row r="60" spans="1:16" s="451" customFormat="1" ht="15.75" outlineLevel="1">
      <c r="A60" s="90"/>
      <c r="B60" s="347"/>
      <c r="C60" s="353" t="str">
        <f>C24</f>
        <v>დონე +14.98 (+3 სართული)</v>
      </c>
      <c r="D60" s="308" t="s">
        <v>17</v>
      </c>
      <c r="E60" s="96"/>
      <c r="F60" s="308">
        <f>395*4.9</f>
        <v>1935.5000000000002</v>
      </c>
      <c r="G60" s="212"/>
      <c r="H60" s="294"/>
      <c r="I60" s="212"/>
      <c r="J60" s="294"/>
      <c r="K60" s="131"/>
      <c r="L60" s="138"/>
      <c r="M60" s="138"/>
      <c r="O60" s="179"/>
      <c r="P60" s="271"/>
    </row>
    <row r="61" spans="1:16" s="5" customFormat="1" ht="15.75" outlineLevel="1">
      <c r="A61" s="90"/>
      <c r="B61" s="347"/>
      <c r="C61" s="353" t="str">
        <f>C25</f>
        <v>დონე +14.98 (+4 სართული)</v>
      </c>
      <c r="D61" s="308" t="s">
        <v>17</v>
      </c>
      <c r="E61" s="96"/>
      <c r="F61" s="308">
        <v>842.3</v>
      </c>
      <c r="G61" s="212"/>
      <c r="H61" s="294"/>
      <c r="I61" s="212"/>
      <c r="J61" s="294"/>
      <c r="K61" s="131"/>
      <c r="L61" s="138"/>
      <c r="M61" s="138"/>
      <c r="O61" s="179"/>
      <c r="P61" s="271"/>
    </row>
    <row r="62" spans="1:16" ht="15.75">
      <c r="A62" s="91"/>
      <c r="B62" s="414"/>
      <c r="C62" s="219" t="s">
        <v>82</v>
      </c>
      <c r="D62" s="502" t="s">
        <v>73</v>
      </c>
      <c r="E62" s="571">
        <v>12.5</v>
      </c>
      <c r="F62" s="326">
        <f>$F$56*E62</f>
        <v>69418.75</v>
      </c>
      <c r="G62" s="342">
        <f aca="true" t="shared" si="9" ref="G62:G67">O62/$K$4</f>
        <v>0</v>
      </c>
      <c r="H62" s="326">
        <f aca="true" t="shared" si="10" ref="H62:H67">F62*G62</f>
        <v>0</v>
      </c>
      <c r="I62" s="342"/>
      <c r="J62" s="326"/>
      <c r="K62" s="258">
        <f aca="true" t="shared" si="11" ref="K62:K67">H62+J62</f>
        <v>0</v>
      </c>
      <c r="L62" s="139"/>
      <c r="M62" s="139"/>
      <c r="O62" s="259"/>
      <c r="P62" s="263"/>
    </row>
    <row r="63" spans="1:16" ht="15.75">
      <c r="A63" s="91"/>
      <c r="B63" s="414"/>
      <c r="C63" s="219" t="s">
        <v>74</v>
      </c>
      <c r="D63" s="328" t="s">
        <v>75</v>
      </c>
      <c r="E63" s="544">
        <v>0.027</v>
      </c>
      <c r="F63" s="326">
        <f aca="true" t="shared" si="12" ref="F63:F67">$F$56*E63</f>
        <v>149.9445</v>
      </c>
      <c r="G63" s="342">
        <f t="shared" si="9"/>
        <v>0</v>
      </c>
      <c r="H63" s="326">
        <f t="shared" si="10"/>
        <v>0</v>
      </c>
      <c r="I63" s="342"/>
      <c r="J63" s="326"/>
      <c r="K63" s="258">
        <f t="shared" si="11"/>
        <v>0</v>
      </c>
      <c r="L63" s="139"/>
      <c r="M63" s="139"/>
      <c r="O63" s="259"/>
      <c r="P63" s="263"/>
    </row>
    <row r="64" spans="1:16" ht="15.75">
      <c r="A64" s="91"/>
      <c r="B64" s="414"/>
      <c r="C64" s="219" t="s">
        <v>83</v>
      </c>
      <c r="D64" s="502" t="s">
        <v>77</v>
      </c>
      <c r="E64" s="544">
        <v>0.006</v>
      </c>
      <c r="F64" s="326">
        <f t="shared" si="12"/>
        <v>33.321</v>
      </c>
      <c r="G64" s="342">
        <f t="shared" si="9"/>
        <v>0</v>
      </c>
      <c r="H64" s="326">
        <f t="shared" si="10"/>
        <v>0</v>
      </c>
      <c r="I64" s="342"/>
      <c r="J64" s="326"/>
      <c r="K64" s="258">
        <f t="shared" si="11"/>
        <v>0</v>
      </c>
      <c r="L64" s="139"/>
      <c r="M64" s="139"/>
      <c r="O64" s="259"/>
      <c r="P64" s="263"/>
    </row>
    <row r="65" spans="1:16" ht="15.75">
      <c r="A65" s="405"/>
      <c r="B65" s="597"/>
      <c r="C65" s="219" t="s">
        <v>78</v>
      </c>
      <c r="D65" s="502" t="s">
        <v>77</v>
      </c>
      <c r="E65" s="594">
        <v>0.006</v>
      </c>
      <c r="F65" s="326">
        <f t="shared" si="12"/>
        <v>33.321</v>
      </c>
      <c r="G65" s="342">
        <f t="shared" si="9"/>
        <v>0</v>
      </c>
      <c r="H65" s="599">
        <f t="shared" si="10"/>
        <v>0</v>
      </c>
      <c r="I65" s="601"/>
      <c r="J65" s="599"/>
      <c r="K65" s="258">
        <f t="shared" si="11"/>
        <v>0</v>
      </c>
      <c r="L65" s="139"/>
      <c r="M65" s="139"/>
      <c r="O65" s="259"/>
      <c r="P65" s="603"/>
    </row>
    <row r="66" spans="1:16" ht="20.4">
      <c r="A66" s="91"/>
      <c r="B66" s="414"/>
      <c r="C66" s="219" t="s">
        <v>79</v>
      </c>
      <c r="D66" s="502" t="s">
        <v>77</v>
      </c>
      <c r="E66" s="544">
        <v>0.007</v>
      </c>
      <c r="F66" s="326">
        <f t="shared" si="12"/>
        <v>38.8745</v>
      </c>
      <c r="G66" s="342">
        <f t="shared" si="9"/>
        <v>0</v>
      </c>
      <c r="H66" s="326">
        <f t="shared" si="10"/>
        <v>0</v>
      </c>
      <c r="I66" s="342"/>
      <c r="J66" s="326"/>
      <c r="K66" s="557">
        <f t="shared" si="11"/>
        <v>0</v>
      </c>
      <c r="L66" s="139"/>
      <c r="M66" s="139"/>
      <c r="O66" s="259"/>
      <c r="P66" s="263"/>
    </row>
    <row r="67" spans="1:16" ht="10.8" thickBot="1">
      <c r="A67" s="598"/>
      <c r="B67" s="86"/>
      <c r="C67" s="592" t="s">
        <v>80</v>
      </c>
      <c r="D67" s="328" t="s">
        <v>81</v>
      </c>
      <c r="E67" s="596">
        <v>0.055</v>
      </c>
      <c r="F67" s="326">
        <f t="shared" si="12"/>
        <v>305.4425</v>
      </c>
      <c r="G67" s="342">
        <f t="shared" si="9"/>
        <v>0</v>
      </c>
      <c r="H67" s="326">
        <f t="shared" si="10"/>
        <v>0</v>
      </c>
      <c r="I67" s="602"/>
      <c r="J67" s="600"/>
      <c r="K67" s="557">
        <f t="shared" si="11"/>
        <v>0</v>
      </c>
      <c r="L67" s="140"/>
      <c r="M67" s="140"/>
      <c r="O67" s="259"/>
      <c r="P67" s="442"/>
    </row>
    <row r="68" spans="1:16" s="451" customFormat="1" ht="20.4">
      <c r="A68" s="445">
        <v>7</v>
      </c>
      <c r="B68" s="346"/>
      <c r="C68" s="352" t="s">
        <v>124</v>
      </c>
      <c r="D68" s="238" t="s">
        <v>107</v>
      </c>
      <c r="E68" s="327"/>
      <c r="F68" s="325">
        <v>994.5</v>
      </c>
      <c r="G68" s="609"/>
      <c r="H68" s="610"/>
      <c r="I68" s="609">
        <f>P68/$K$4</f>
        <v>0</v>
      </c>
      <c r="J68" s="610">
        <f>F68*I68</f>
        <v>0</v>
      </c>
      <c r="K68" s="253">
        <f>H68+J68</f>
        <v>0</v>
      </c>
      <c r="L68" s="137">
        <f>SUM(K68:K75)</f>
        <v>0</v>
      </c>
      <c r="M68" s="137">
        <f>L68/F68</f>
        <v>0</v>
      </c>
      <c r="O68" s="452"/>
      <c r="P68" s="611"/>
    </row>
    <row r="69" spans="1:16" ht="15.75">
      <c r="A69" s="91"/>
      <c r="B69" s="349"/>
      <c r="C69" s="219" t="s">
        <v>108</v>
      </c>
      <c r="D69" s="260" t="s">
        <v>107</v>
      </c>
      <c r="E69" s="305">
        <v>2.1</v>
      </c>
      <c r="F69" s="326">
        <f>$F$68*E69</f>
        <v>2088.4500000000003</v>
      </c>
      <c r="G69" s="542">
        <f aca="true" t="shared" si="13" ref="G69:G75">O69/$K$4</f>
        <v>0</v>
      </c>
      <c r="H69" s="612">
        <f aca="true" t="shared" si="14" ref="H69:H75">F69*G69</f>
        <v>0</v>
      </c>
      <c r="I69" s="542"/>
      <c r="J69" s="612"/>
      <c r="K69" s="258">
        <f aca="true" t="shared" si="15" ref="K69:K75">H69+J69</f>
        <v>0</v>
      </c>
      <c r="L69" s="139"/>
      <c r="M69" s="139"/>
      <c r="O69" s="259"/>
      <c r="P69" s="342"/>
    </row>
    <row r="70" spans="1:16" ht="15.75">
      <c r="A70" s="405"/>
      <c r="B70" s="404"/>
      <c r="C70" s="219" t="s">
        <v>109</v>
      </c>
      <c r="D70" s="260" t="s">
        <v>73</v>
      </c>
      <c r="E70" s="305">
        <v>14</v>
      </c>
      <c r="F70" s="326">
        <f aca="true" t="shared" si="16" ref="F70:F75">$F$68*E70</f>
        <v>13923</v>
      </c>
      <c r="G70" s="542">
        <f t="shared" si="13"/>
        <v>0</v>
      </c>
      <c r="H70" s="613">
        <f t="shared" si="14"/>
        <v>0</v>
      </c>
      <c r="I70" s="614"/>
      <c r="J70" s="613"/>
      <c r="K70" s="258">
        <f t="shared" si="15"/>
        <v>0</v>
      </c>
      <c r="L70" s="139"/>
      <c r="M70" s="139"/>
      <c r="O70" s="259"/>
      <c r="P70" s="601"/>
    </row>
    <row r="71" spans="1:16" ht="15.75">
      <c r="A71" s="91"/>
      <c r="B71" s="349"/>
      <c r="C71" s="219" t="s">
        <v>110</v>
      </c>
      <c r="D71" s="260" t="s">
        <v>111</v>
      </c>
      <c r="E71" s="305">
        <v>4</v>
      </c>
      <c r="F71" s="326">
        <f t="shared" si="16"/>
        <v>3978</v>
      </c>
      <c r="G71" s="542">
        <f t="shared" si="13"/>
        <v>0</v>
      </c>
      <c r="H71" s="612">
        <f t="shared" si="14"/>
        <v>0</v>
      </c>
      <c r="I71" s="542"/>
      <c r="J71" s="612"/>
      <c r="K71" s="258">
        <f t="shared" si="15"/>
        <v>0</v>
      </c>
      <c r="L71" s="139"/>
      <c r="M71" s="139"/>
      <c r="O71" s="259"/>
      <c r="P71" s="342"/>
    </row>
    <row r="72" spans="1:16" ht="15.75">
      <c r="A72" s="91"/>
      <c r="B72" s="349"/>
      <c r="C72" s="219" t="s">
        <v>112</v>
      </c>
      <c r="D72" s="260" t="s">
        <v>73</v>
      </c>
      <c r="E72" s="305">
        <v>1.4</v>
      </c>
      <c r="F72" s="326">
        <f t="shared" si="16"/>
        <v>1392.3</v>
      </c>
      <c r="G72" s="542">
        <f t="shared" si="13"/>
        <v>0</v>
      </c>
      <c r="H72" s="612">
        <f t="shared" si="14"/>
        <v>0</v>
      </c>
      <c r="I72" s="542"/>
      <c r="J72" s="612"/>
      <c r="K72" s="258">
        <f t="shared" si="15"/>
        <v>0</v>
      </c>
      <c r="L72" s="139"/>
      <c r="M72" s="139"/>
      <c r="O72" s="259"/>
      <c r="P72" s="342"/>
    </row>
    <row r="73" spans="1:16" ht="15.75">
      <c r="A73" s="91"/>
      <c r="B73" s="349"/>
      <c r="C73" s="219" t="s">
        <v>113</v>
      </c>
      <c r="D73" s="260" t="s">
        <v>73</v>
      </c>
      <c r="E73" s="305">
        <v>6</v>
      </c>
      <c r="F73" s="326">
        <f t="shared" si="16"/>
        <v>5967</v>
      </c>
      <c r="G73" s="542">
        <f t="shared" si="13"/>
        <v>0</v>
      </c>
      <c r="H73" s="612">
        <f t="shared" si="14"/>
        <v>0</v>
      </c>
      <c r="I73" s="542"/>
      <c r="J73" s="612"/>
      <c r="K73" s="258">
        <f t="shared" si="15"/>
        <v>0</v>
      </c>
      <c r="L73" s="139"/>
      <c r="M73" s="139"/>
      <c r="O73" s="259"/>
      <c r="P73" s="342"/>
    </row>
    <row r="74" spans="1:16" ht="15.75">
      <c r="A74" s="405"/>
      <c r="B74" s="404"/>
      <c r="C74" s="219" t="s">
        <v>114</v>
      </c>
      <c r="D74" s="260" t="s">
        <v>73</v>
      </c>
      <c r="E74" s="305">
        <v>56</v>
      </c>
      <c r="F74" s="326">
        <f t="shared" si="16"/>
        <v>55692</v>
      </c>
      <c r="G74" s="542">
        <f t="shared" si="13"/>
        <v>0</v>
      </c>
      <c r="H74" s="613">
        <f t="shared" si="14"/>
        <v>0</v>
      </c>
      <c r="I74" s="614"/>
      <c r="J74" s="613"/>
      <c r="K74" s="258">
        <f t="shared" si="15"/>
        <v>0</v>
      </c>
      <c r="L74" s="139"/>
      <c r="M74" s="139"/>
      <c r="O74" s="259"/>
      <c r="P74" s="601"/>
    </row>
    <row r="75" spans="1:16" ht="10.8" thickBot="1">
      <c r="A75" s="91"/>
      <c r="B75" s="349"/>
      <c r="C75" s="219" t="s">
        <v>115</v>
      </c>
      <c r="D75" s="260" t="s">
        <v>73</v>
      </c>
      <c r="E75" s="305">
        <v>3.2</v>
      </c>
      <c r="F75" s="326">
        <f t="shared" si="16"/>
        <v>3182.4</v>
      </c>
      <c r="G75" s="542">
        <f t="shared" si="13"/>
        <v>0</v>
      </c>
      <c r="H75" s="613">
        <f t="shared" si="14"/>
        <v>0</v>
      </c>
      <c r="I75" s="614"/>
      <c r="J75" s="613"/>
      <c r="K75" s="557">
        <f t="shared" si="15"/>
        <v>0</v>
      </c>
      <c r="L75" s="139"/>
      <c r="M75" s="139"/>
      <c r="O75" s="259"/>
      <c r="P75" s="601"/>
    </row>
    <row r="76" spans="1:16" s="451" customFormat="1" ht="20.4">
      <c r="A76" s="445">
        <v>9</v>
      </c>
      <c r="B76" s="346"/>
      <c r="C76" s="352" t="s">
        <v>116</v>
      </c>
      <c r="D76" s="238" t="s">
        <v>107</v>
      </c>
      <c r="E76" s="327"/>
      <c r="F76" s="325">
        <f>SUM(F77:F80)</f>
        <v>5617.6</v>
      </c>
      <c r="G76" s="609"/>
      <c r="H76" s="610"/>
      <c r="I76" s="609">
        <f>P76/$K$4</f>
        <v>0</v>
      </c>
      <c r="J76" s="610">
        <f>F76*I76</f>
        <v>0</v>
      </c>
      <c r="K76" s="253">
        <f>H76+J76</f>
        <v>0</v>
      </c>
      <c r="L76" s="137">
        <f>SUM(K76:K88)</f>
        <v>0</v>
      </c>
      <c r="M76" s="137">
        <f>L76/F76</f>
        <v>0</v>
      </c>
      <c r="O76" s="452"/>
      <c r="P76" s="611"/>
    </row>
    <row r="77" spans="1:16" ht="15.75">
      <c r="A77" s="91"/>
      <c r="B77" s="349"/>
      <c r="C77" s="353" t="str">
        <f>C57</f>
        <v>დონე +0.00 (0 სართული)</v>
      </c>
      <c r="D77" s="369"/>
      <c r="E77" s="369"/>
      <c r="F77" s="261">
        <f>145*4</f>
        <v>580</v>
      </c>
      <c r="G77" s="541"/>
      <c r="H77" s="612"/>
      <c r="I77" s="542"/>
      <c r="J77" s="612"/>
      <c r="K77" s="258"/>
      <c r="L77" s="139"/>
      <c r="M77" s="139"/>
      <c r="O77" s="453"/>
      <c r="P77" s="263"/>
    </row>
    <row r="78" spans="1:16" ht="15.75">
      <c r="A78" s="91"/>
      <c r="B78" s="349"/>
      <c r="C78" s="353" t="str">
        <f>C58</f>
        <v>დონე +4.38 (+1 სართული)</v>
      </c>
      <c r="D78" s="260"/>
      <c r="E78" s="369"/>
      <c r="F78" s="261">
        <f>565*4</f>
        <v>2260</v>
      </c>
      <c r="G78" s="541"/>
      <c r="H78" s="612"/>
      <c r="I78" s="542"/>
      <c r="J78" s="612"/>
      <c r="K78" s="258"/>
      <c r="L78" s="139"/>
      <c r="M78" s="139"/>
      <c r="O78" s="453"/>
      <c r="P78" s="263"/>
    </row>
    <row r="79" spans="1:16" ht="15.75">
      <c r="A79" s="91"/>
      <c r="B79" s="349"/>
      <c r="C79" s="353" t="str">
        <f>C59</f>
        <v>დონე +9.68 (+2 სართული)</v>
      </c>
      <c r="D79" s="369"/>
      <c r="E79" s="369"/>
      <c r="F79" s="261">
        <f>694.4*4</f>
        <v>2777.6</v>
      </c>
      <c r="G79" s="541"/>
      <c r="H79" s="612"/>
      <c r="I79" s="542"/>
      <c r="J79" s="612"/>
      <c r="K79" s="258"/>
      <c r="L79" s="139"/>
      <c r="M79" s="139"/>
      <c r="O79" s="453"/>
      <c r="P79" s="263"/>
    </row>
    <row r="80" spans="1:16" ht="15.75">
      <c r="A80" s="91"/>
      <c r="B80" s="349"/>
      <c r="C80" s="353" t="str">
        <f>C60</f>
        <v>დონე +14.98 (+3 სართული)</v>
      </c>
      <c r="D80" s="260"/>
      <c r="E80" s="369"/>
      <c r="F80" s="261"/>
      <c r="G80" s="541"/>
      <c r="H80" s="612"/>
      <c r="I80" s="542"/>
      <c r="J80" s="612"/>
      <c r="K80" s="258"/>
      <c r="L80" s="139"/>
      <c r="M80" s="139"/>
      <c r="O80" s="453"/>
      <c r="P80" s="263"/>
    </row>
    <row r="81" spans="1:16" ht="15.75">
      <c r="A81" s="91"/>
      <c r="B81" s="349"/>
      <c r="C81" s="219" t="s">
        <v>150</v>
      </c>
      <c r="D81" s="260" t="s">
        <v>107</v>
      </c>
      <c r="E81" s="305">
        <v>4.2</v>
      </c>
      <c r="F81" s="326">
        <f>$F$76*E81</f>
        <v>23593.920000000002</v>
      </c>
      <c r="G81" s="542">
        <f aca="true" t="shared" si="17" ref="G81:G88">O81/$K$4</f>
        <v>0</v>
      </c>
      <c r="H81" s="612">
        <f aca="true" t="shared" si="18" ref="H81:H88">F81*G81</f>
        <v>0</v>
      </c>
      <c r="I81" s="542"/>
      <c r="J81" s="612"/>
      <c r="K81" s="258">
        <f aca="true" t="shared" si="19" ref="K81:K88">H81+J81</f>
        <v>0</v>
      </c>
      <c r="L81" s="139"/>
      <c r="M81" s="139"/>
      <c r="O81" s="259"/>
      <c r="P81" s="342"/>
    </row>
    <row r="82" spans="1:16" ht="15.75">
      <c r="A82" s="405"/>
      <c r="B82" s="404"/>
      <c r="C82" s="219" t="s">
        <v>109</v>
      </c>
      <c r="D82" s="260" t="s">
        <v>73</v>
      </c>
      <c r="E82" s="305">
        <v>14</v>
      </c>
      <c r="F82" s="326">
        <f aca="true" t="shared" si="20" ref="F82:F88">$F$76*E82</f>
        <v>78646.40000000001</v>
      </c>
      <c r="G82" s="542">
        <f t="shared" si="17"/>
        <v>0</v>
      </c>
      <c r="H82" s="613">
        <f t="shared" si="18"/>
        <v>0</v>
      </c>
      <c r="I82" s="614"/>
      <c r="J82" s="613"/>
      <c r="K82" s="258">
        <f t="shared" si="19"/>
        <v>0</v>
      </c>
      <c r="L82" s="139"/>
      <c r="M82" s="139"/>
      <c r="O82" s="259"/>
      <c r="P82" s="601"/>
    </row>
    <row r="83" spans="1:16" ht="15.75">
      <c r="A83" s="91"/>
      <c r="B83" s="349"/>
      <c r="C83" s="219" t="s">
        <v>110</v>
      </c>
      <c r="D83" s="260" t="s">
        <v>111</v>
      </c>
      <c r="E83" s="305">
        <v>4</v>
      </c>
      <c r="F83" s="326">
        <f t="shared" si="20"/>
        <v>22470.4</v>
      </c>
      <c r="G83" s="542">
        <f t="shared" si="17"/>
        <v>0</v>
      </c>
      <c r="H83" s="612">
        <f t="shared" si="18"/>
        <v>0</v>
      </c>
      <c r="I83" s="542"/>
      <c r="J83" s="612"/>
      <c r="K83" s="258">
        <f t="shared" si="19"/>
        <v>0</v>
      </c>
      <c r="L83" s="139"/>
      <c r="M83" s="139"/>
      <c r="O83" s="259"/>
      <c r="P83" s="342"/>
    </row>
    <row r="84" spans="1:16" ht="15.75">
      <c r="A84" s="91"/>
      <c r="B84" s="349"/>
      <c r="C84" s="219" t="s">
        <v>112</v>
      </c>
      <c r="D84" s="260" t="s">
        <v>73</v>
      </c>
      <c r="E84" s="305">
        <v>1.4</v>
      </c>
      <c r="F84" s="326">
        <f t="shared" si="20"/>
        <v>7864.64</v>
      </c>
      <c r="G84" s="542">
        <f t="shared" si="17"/>
        <v>0</v>
      </c>
      <c r="H84" s="612">
        <f t="shared" si="18"/>
        <v>0</v>
      </c>
      <c r="I84" s="542"/>
      <c r="J84" s="612"/>
      <c r="K84" s="258">
        <f t="shared" si="19"/>
        <v>0</v>
      </c>
      <c r="L84" s="139"/>
      <c r="M84" s="139"/>
      <c r="O84" s="259"/>
      <c r="P84" s="342"/>
    </row>
    <row r="85" spans="1:16" ht="15.75">
      <c r="A85" s="91"/>
      <c r="B85" s="349"/>
      <c r="C85" s="219" t="s">
        <v>113</v>
      </c>
      <c r="D85" s="260" t="s">
        <v>73</v>
      </c>
      <c r="E85" s="305">
        <v>6</v>
      </c>
      <c r="F85" s="326">
        <f t="shared" si="20"/>
        <v>33705.600000000006</v>
      </c>
      <c r="G85" s="542">
        <f t="shared" si="17"/>
        <v>0</v>
      </c>
      <c r="H85" s="612">
        <f t="shared" si="18"/>
        <v>0</v>
      </c>
      <c r="I85" s="542"/>
      <c r="J85" s="612"/>
      <c r="K85" s="258">
        <f t="shared" si="19"/>
        <v>0</v>
      </c>
      <c r="L85" s="139"/>
      <c r="M85" s="139"/>
      <c r="O85" s="259"/>
      <c r="P85" s="342"/>
    </row>
    <row r="86" spans="1:16" ht="15.75">
      <c r="A86" s="405"/>
      <c r="B86" s="404"/>
      <c r="C86" s="219" t="s">
        <v>114</v>
      </c>
      <c r="D86" s="260" t="s">
        <v>73</v>
      </c>
      <c r="E86" s="305">
        <v>56</v>
      </c>
      <c r="F86" s="326">
        <f t="shared" si="20"/>
        <v>314585.60000000003</v>
      </c>
      <c r="G86" s="542">
        <f t="shared" si="17"/>
        <v>0</v>
      </c>
      <c r="H86" s="613">
        <f t="shared" si="18"/>
        <v>0</v>
      </c>
      <c r="I86" s="614"/>
      <c r="J86" s="613"/>
      <c r="K86" s="258">
        <f t="shared" si="19"/>
        <v>0</v>
      </c>
      <c r="L86" s="139"/>
      <c r="M86" s="139"/>
      <c r="O86" s="259"/>
      <c r="P86" s="601"/>
    </row>
    <row r="87" spans="1:16" ht="15.75">
      <c r="A87" s="91"/>
      <c r="B87" s="349"/>
      <c r="C87" s="219" t="s">
        <v>115</v>
      </c>
      <c r="D87" s="260" t="s">
        <v>73</v>
      </c>
      <c r="E87" s="305">
        <v>3.2</v>
      </c>
      <c r="F87" s="326">
        <f t="shared" si="20"/>
        <v>17976.320000000003</v>
      </c>
      <c r="G87" s="542">
        <f t="shared" si="17"/>
        <v>0</v>
      </c>
      <c r="H87" s="613">
        <f t="shared" si="18"/>
        <v>0</v>
      </c>
      <c r="I87" s="614"/>
      <c r="J87" s="613"/>
      <c r="K87" s="557">
        <f t="shared" si="19"/>
        <v>0</v>
      </c>
      <c r="L87" s="139"/>
      <c r="M87" s="139"/>
      <c r="O87" s="259"/>
      <c r="P87" s="601"/>
    </row>
    <row r="88" spans="1:16" ht="10.8" thickBot="1">
      <c r="A88" s="598"/>
      <c r="B88" s="351"/>
      <c r="C88" s="219" t="s">
        <v>151</v>
      </c>
      <c r="D88" s="260" t="s">
        <v>107</v>
      </c>
      <c r="E88" s="305">
        <v>1.1</v>
      </c>
      <c r="F88" s="326">
        <f t="shared" si="20"/>
        <v>6179.360000000001</v>
      </c>
      <c r="G88" s="542">
        <f t="shared" si="17"/>
        <v>0</v>
      </c>
      <c r="H88" s="613">
        <f t="shared" si="18"/>
        <v>0</v>
      </c>
      <c r="I88" s="614"/>
      <c r="J88" s="613"/>
      <c r="K88" s="258">
        <f t="shared" si="19"/>
        <v>0</v>
      </c>
      <c r="L88" s="140"/>
      <c r="M88" s="139"/>
      <c r="O88" s="259"/>
      <c r="P88" s="601"/>
    </row>
    <row r="89" spans="1:16" s="451" customFormat="1" ht="15.75">
      <c r="A89" s="445">
        <v>10</v>
      </c>
      <c r="B89" s="346"/>
      <c r="C89" s="48" t="s">
        <v>84</v>
      </c>
      <c r="D89" s="303" t="s">
        <v>81</v>
      </c>
      <c r="E89" s="303"/>
      <c r="F89" s="300">
        <f>SUM(F90:F94)</f>
        <v>11589.159999999998</v>
      </c>
      <c r="G89" s="343"/>
      <c r="H89" s="300"/>
      <c r="I89" s="343">
        <f>P89/$K$4</f>
        <v>0</v>
      </c>
      <c r="J89" s="300">
        <f>F89*I89</f>
        <v>0</v>
      </c>
      <c r="K89" s="130">
        <f>H89+J89</f>
        <v>0</v>
      </c>
      <c r="L89" s="137">
        <f>SUM(K89:K95)</f>
        <v>0</v>
      </c>
      <c r="M89" s="137">
        <f>L89/F89</f>
        <v>0</v>
      </c>
      <c r="O89" s="170"/>
      <c r="P89" s="272"/>
    </row>
    <row r="90" spans="1:16" s="451" customFormat="1" ht="15.75" outlineLevel="1">
      <c r="A90" s="90"/>
      <c r="B90" s="347"/>
      <c r="C90" s="622" t="str">
        <f>C57</f>
        <v>დონე +0.00 (0 სართული)</v>
      </c>
      <c r="D90" s="96" t="s">
        <v>81</v>
      </c>
      <c r="E90" s="96"/>
      <c r="F90" s="308">
        <f>F57*2+F46*2</f>
        <v>1516.9999999999998</v>
      </c>
      <c r="G90" s="212"/>
      <c r="H90" s="294"/>
      <c r="I90" s="212"/>
      <c r="J90" s="294"/>
      <c r="K90" s="131"/>
      <c r="L90" s="138"/>
      <c r="M90" s="138"/>
      <c r="O90" s="179"/>
      <c r="P90" s="271"/>
    </row>
    <row r="91" spans="1:16" s="451" customFormat="1" ht="15.75" outlineLevel="1">
      <c r="A91" s="90"/>
      <c r="B91" s="347"/>
      <c r="C91" s="622" t="str">
        <f>C58</f>
        <v>დონე +4.38 (+1 სართული)</v>
      </c>
      <c r="D91" s="96" t="s">
        <v>81</v>
      </c>
      <c r="E91" s="96"/>
      <c r="F91" s="308">
        <f>F58*2+F47*2</f>
        <v>2177.9199999999996</v>
      </c>
      <c r="G91" s="212"/>
      <c r="H91" s="294"/>
      <c r="I91" s="212"/>
      <c r="J91" s="294"/>
      <c r="K91" s="131"/>
      <c r="L91" s="138"/>
      <c r="M91" s="138"/>
      <c r="O91" s="179"/>
      <c r="P91" s="271"/>
    </row>
    <row r="92" spans="1:16" s="451" customFormat="1" ht="15.75" outlineLevel="1">
      <c r="A92" s="90"/>
      <c r="B92" s="347"/>
      <c r="C92" s="622" t="str">
        <f>C59</f>
        <v>დონე +9.68 (+2 სართული)</v>
      </c>
      <c r="D92" s="96" t="s">
        <v>81</v>
      </c>
      <c r="E92" s="96"/>
      <c r="F92" s="308">
        <f>F59*2+F48*2</f>
        <v>2177.9199999999996</v>
      </c>
      <c r="G92" s="212"/>
      <c r="H92" s="294"/>
      <c r="I92" s="212"/>
      <c r="J92" s="294"/>
      <c r="K92" s="131"/>
      <c r="L92" s="138"/>
      <c r="M92" s="138"/>
      <c r="O92" s="179"/>
      <c r="P92" s="271"/>
    </row>
    <row r="93" spans="1:16" s="451" customFormat="1" ht="15.75" outlineLevel="1">
      <c r="A93" s="90"/>
      <c r="B93" s="347"/>
      <c r="C93" s="622" t="str">
        <f>C60</f>
        <v>დონე +14.98 (+3 სართული)</v>
      </c>
      <c r="D93" s="96" t="s">
        <v>81</v>
      </c>
      <c r="E93" s="96"/>
      <c r="F93" s="308">
        <f>F60*2+F48*2</f>
        <v>4031.7200000000003</v>
      </c>
      <c r="G93" s="212"/>
      <c r="H93" s="294"/>
      <c r="I93" s="212"/>
      <c r="J93" s="294"/>
      <c r="K93" s="131"/>
      <c r="L93" s="138"/>
      <c r="M93" s="138"/>
      <c r="O93" s="179"/>
      <c r="P93" s="271"/>
    </row>
    <row r="94" spans="1:16" s="451" customFormat="1" ht="15.75" outlineLevel="1">
      <c r="A94" s="90"/>
      <c r="B94" s="347"/>
      <c r="C94" s="622" t="str">
        <f>C61</f>
        <v>დონე +14.98 (+4 სართული)</v>
      </c>
      <c r="D94" s="96" t="s">
        <v>81</v>
      </c>
      <c r="E94" s="96"/>
      <c r="F94" s="308">
        <f>F61*2+F49*2</f>
        <v>1684.6</v>
      </c>
      <c r="G94" s="212"/>
      <c r="H94" s="294"/>
      <c r="I94" s="212"/>
      <c r="J94" s="294"/>
      <c r="K94" s="131"/>
      <c r="L94" s="138"/>
      <c r="M94" s="138"/>
      <c r="O94" s="179"/>
      <c r="P94" s="271"/>
    </row>
    <row r="95" spans="1:16" ht="10.8" thickBot="1">
      <c r="A95" s="91"/>
      <c r="B95" s="349"/>
      <c r="C95" s="501" t="s">
        <v>147</v>
      </c>
      <c r="D95" s="623" t="s">
        <v>77</v>
      </c>
      <c r="E95" s="413">
        <v>0.035</v>
      </c>
      <c r="F95" s="301">
        <f>$F$89*E95</f>
        <v>405.62059999999997</v>
      </c>
      <c r="G95" s="315">
        <f>O95/$K$4</f>
        <v>0</v>
      </c>
      <c r="H95" s="301">
        <f>F95*G95</f>
        <v>0</v>
      </c>
      <c r="I95" s="315"/>
      <c r="J95" s="301"/>
      <c r="K95" s="131">
        <f>H95+J95</f>
        <v>0</v>
      </c>
      <c r="L95" s="139"/>
      <c r="M95" s="139"/>
      <c r="O95" s="176"/>
      <c r="P95" s="269"/>
    </row>
    <row r="96" spans="1:16" ht="10.8" thickBot="1">
      <c r="A96" s="288"/>
      <c r="B96" s="288"/>
      <c r="C96" s="288"/>
      <c r="D96" s="286"/>
      <c r="E96" s="51"/>
      <c r="F96" s="53"/>
      <c r="G96" s="112"/>
      <c r="H96" s="53"/>
      <c r="I96" s="365"/>
      <c r="J96" s="54"/>
      <c r="K96" s="129"/>
      <c r="L96" s="129"/>
      <c r="M96" s="129"/>
      <c r="O96" s="177"/>
      <c r="P96" s="365"/>
    </row>
    <row r="97" spans="1:16" ht="24" thickBot="1">
      <c r="A97" s="827" t="s">
        <v>89</v>
      </c>
      <c r="B97" s="848"/>
      <c r="C97" s="848"/>
      <c r="D97" s="848"/>
      <c r="E97" s="848"/>
      <c r="F97" s="848"/>
      <c r="G97" s="848"/>
      <c r="H97" s="848"/>
      <c r="I97" s="848"/>
      <c r="J97" s="848"/>
      <c r="K97" s="848"/>
      <c r="L97" s="848"/>
      <c r="M97" s="849"/>
      <c r="O97" s="606"/>
      <c r="P97" s="354"/>
    </row>
    <row r="98" spans="1:16" s="5" customFormat="1" ht="20.4">
      <c r="A98" s="89">
        <v>11</v>
      </c>
      <c r="B98" s="346"/>
      <c r="C98" s="616" t="s">
        <v>123</v>
      </c>
      <c r="D98" s="303" t="s">
        <v>107</v>
      </c>
      <c r="E98" s="303"/>
      <c r="F98" s="300">
        <f>SUM(F99:F103)</f>
        <v>537.8</v>
      </c>
      <c r="G98" s="343"/>
      <c r="H98" s="300"/>
      <c r="I98" s="343">
        <f>P98/$K$4</f>
        <v>0</v>
      </c>
      <c r="J98" s="300">
        <f>F98*I98</f>
        <v>0</v>
      </c>
      <c r="K98" s="130">
        <f>H98+J98</f>
        <v>0</v>
      </c>
      <c r="L98" s="137">
        <f>SUM(K98:K111)</f>
        <v>0</v>
      </c>
      <c r="M98" s="137">
        <f>L98/F98</f>
        <v>0</v>
      </c>
      <c r="O98" s="170"/>
      <c r="P98" s="272"/>
    </row>
    <row r="99" spans="1:16" s="5" customFormat="1" ht="15.75" outlineLevel="1">
      <c r="A99" s="90"/>
      <c r="B99" s="347"/>
      <c r="C99" s="522" t="str">
        <f>C57</f>
        <v>დონე +0.00 (0 სართული)</v>
      </c>
      <c r="D99" s="96" t="s">
        <v>107</v>
      </c>
      <c r="E99" s="96"/>
      <c r="F99" s="308">
        <f>F21</f>
        <v>67.2</v>
      </c>
      <c r="G99" s="212"/>
      <c r="H99" s="294"/>
      <c r="I99" s="212"/>
      <c r="J99" s="294"/>
      <c r="K99" s="131"/>
      <c r="L99" s="138"/>
      <c r="M99" s="138"/>
      <c r="O99" s="179"/>
      <c r="P99" s="271"/>
    </row>
    <row r="100" spans="1:16" s="5" customFormat="1" ht="15.75" outlineLevel="1">
      <c r="A100" s="90"/>
      <c r="B100" s="347"/>
      <c r="C100" s="522" t="str">
        <f>C58</f>
        <v>დონე +4.38 (+1 სართული)</v>
      </c>
      <c r="D100" s="96" t="s">
        <v>107</v>
      </c>
      <c r="E100" s="96"/>
      <c r="F100" s="308">
        <f>F22</f>
        <v>134.4</v>
      </c>
      <c r="G100" s="212"/>
      <c r="H100" s="294"/>
      <c r="I100" s="212"/>
      <c r="J100" s="294"/>
      <c r="K100" s="131"/>
      <c r="L100" s="138"/>
      <c r="M100" s="138"/>
      <c r="O100" s="179"/>
      <c r="P100" s="271"/>
    </row>
    <row r="101" spans="1:16" s="5" customFormat="1" ht="15.75" outlineLevel="1">
      <c r="A101" s="90"/>
      <c r="B101" s="347"/>
      <c r="C101" s="522" t="str">
        <f>C59</f>
        <v>დონე +9.68 (+2 სართული)</v>
      </c>
      <c r="D101" s="96" t="s">
        <v>107</v>
      </c>
      <c r="E101" s="96"/>
      <c r="F101" s="308">
        <f>F23</f>
        <v>134.4</v>
      </c>
      <c r="G101" s="212"/>
      <c r="H101" s="294"/>
      <c r="I101" s="212"/>
      <c r="J101" s="294"/>
      <c r="K101" s="131"/>
      <c r="L101" s="138"/>
      <c r="M101" s="138"/>
      <c r="O101" s="179"/>
      <c r="P101" s="271"/>
    </row>
    <row r="102" spans="1:16" s="451" customFormat="1" ht="15.75" outlineLevel="1">
      <c r="A102" s="90"/>
      <c r="B102" s="347"/>
      <c r="C102" s="522" t="str">
        <f>C60</f>
        <v>დონე +14.98 (+3 სართული)</v>
      </c>
      <c r="D102" s="96" t="s">
        <v>107</v>
      </c>
      <c r="E102" s="96"/>
      <c r="F102" s="308">
        <f>F24</f>
        <v>134.4</v>
      </c>
      <c r="G102" s="212"/>
      <c r="H102" s="294"/>
      <c r="I102" s="212"/>
      <c r="J102" s="294"/>
      <c r="K102" s="131"/>
      <c r="L102" s="138"/>
      <c r="M102" s="138"/>
      <c r="O102" s="179"/>
      <c r="P102" s="271"/>
    </row>
    <row r="103" spans="1:16" s="5" customFormat="1" ht="15.75" outlineLevel="1">
      <c r="A103" s="90"/>
      <c r="B103" s="347"/>
      <c r="C103" s="522" t="str">
        <f>C61</f>
        <v>დონე +14.98 (+4 სართული)</v>
      </c>
      <c r="D103" s="96" t="s">
        <v>107</v>
      </c>
      <c r="E103" s="96"/>
      <c r="F103" s="308">
        <f>F25</f>
        <v>67.4</v>
      </c>
      <c r="G103" s="212"/>
      <c r="H103" s="294"/>
      <c r="I103" s="212"/>
      <c r="J103" s="294"/>
      <c r="K103" s="131"/>
      <c r="L103" s="138"/>
      <c r="M103" s="138"/>
      <c r="O103" s="179"/>
      <c r="P103" s="271"/>
    </row>
    <row r="104" spans="1:16" ht="15.75">
      <c r="A104" s="91"/>
      <c r="B104" s="349"/>
      <c r="C104" s="501" t="s">
        <v>117</v>
      </c>
      <c r="D104" s="328" t="s">
        <v>107</v>
      </c>
      <c r="E104" s="305">
        <v>1.1</v>
      </c>
      <c r="F104" s="301">
        <f aca="true" t="shared" si="21" ref="F104:F111">$F$98*E104</f>
        <v>591.58</v>
      </c>
      <c r="G104" s="315">
        <f>O104/$K$4</f>
        <v>0</v>
      </c>
      <c r="H104" s="301">
        <f aca="true" t="shared" si="22" ref="H104:H111">F104*G104</f>
        <v>0</v>
      </c>
      <c r="I104" s="315"/>
      <c r="J104" s="301"/>
      <c r="K104" s="131">
        <f aca="true" t="shared" si="23" ref="K104:K111">H104+J104</f>
        <v>0</v>
      </c>
      <c r="L104" s="139"/>
      <c r="M104" s="139"/>
      <c r="O104" s="256"/>
      <c r="P104" s="315"/>
    </row>
    <row r="105" spans="1:16" ht="15.75">
      <c r="A105" s="91"/>
      <c r="B105" s="349"/>
      <c r="C105" s="501" t="s">
        <v>118</v>
      </c>
      <c r="D105" s="328" t="s">
        <v>111</v>
      </c>
      <c r="E105" s="305">
        <v>3</v>
      </c>
      <c r="F105" s="301">
        <f t="shared" si="21"/>
        <v>1613.3999999999999</v>
      </c>
      <c r="G105" s="315">
        <f aca="true" t="shared" si="24" ref="G105:G111">O105/$K$4</f>
        <v>0</v>
      </c>
      <c r="H105" s="301">
        <f t="shared" si="22"/>
        <v>0</v>
      </c>
      <c r="I105" s="315"/>
      <c r="J105" s="301"/>
      <c r="K105" s="131">
        <f t="shared" si="23"/>
        <v>0</v>
      </c>
      <c r="L105" s="139"/>
      <c r="M105" s="139"/>
      <c r="O105" s="256"/>
      <c r="P105" s="315"/>
    </row>
    <row r="106" spans="1:16" ht="15.75">
      <c r="A106" s="406"/>
      <c r="B106" s="349"/>
      <c r="C106" s="501" t="s">
        <v>109</v>
      </c>
      <c r="D106" s="328" t="s">
        <v>111</v>
      </c>
      <c r="E106" s="305">
        <v>1</v>
      </c>
      <c r="F106" s="301">
        <f t="shared" si="21"/>
        <v>537.8</v>
      </c>
      <c r="G106" s="315">
        <f t="shared" si="24"/>
        <v>0</v>
      </c>
      <c r="H106" s="301">
        <f t="shared" si="22"/>
        <v>0</v>
      </c>
      <c r="I106" s="409"/>
      <c r="J106" s="301"/>
      <c r="K106" s="131">
        <f t="shared" si="23"/>
        <v>0</v>
      </c>
      <c r="L106" s="186"/>
      <c r="M106" s="186"/>
      <c r="O106" s="256"/>
      <c r="P106" s="315"/>
    </row>
    <row r="107" spans="1:16" ht="15.75">
      <c r="A107" s="91"/>
      <c r="B107" s="349"/>
      <c r="C107" s="501" t="s">
        <v>119</v>
      </c>
      <c r="D107" s="328" t="s">
        <v>73</v>
      </c>
      <c r="E107" s="305">
        <v>2.3</v>
      </c>
      <c r="F107" s="301">
        <f t="shared" si="21"/>
        <v>1236.9399999999998</v>
      </c>
      <c r="G107" s="315">
        <f t="shared" si="24"/>
        <v>0</v>
      </c>
      <c r="H107" s="301">
        <f t="shared" si="22"/>
        <v>0</v>
      </c>
      <c r="I107" s="315"/>
      <c r="J107" s="301"/>
      <c r="K107" s="131">
        <f t="shared" si="23"/>
        <v>0</v>
      </c>
      <c r="L107" s="139"/>
      <c r="M107" s="139"/>
      <c r="O107" s="256"/>
      <c r="P107" s="315"/>
    </row>
    <row r="108" spans="1:16" ht="15.75">
      <c r="A108" s="91"/>
      <c r="B108" s="349"/>
      <c r="C108" s="501" t="s">
        <v>120</v>
      </c>
      <c r="D108" s="328" t="s">
        <v>73</v>
      </c>
      <c r="E108" s="305">
        <v>17</v>
      </c>
      <c r="F108" s="301">
        <f t="shared" si="21"/>
        <v>9142.599999999999</v>
      </c>
      <c r="G108" s="407">
        <f t="shared" si="24"/>
        <v>0</v>
      </c>
      <c r="H108" s="301">
        <f t="shared" si="22"/>
        <v>0</v>
      </c>
      <c r="I108" s="315"/>
      <c r="J108" s="301"/>
      <c r="K108" s="131">
        <f t="shared" si="23"/>
        <v>0</v>
      </c>
      <c r="L108" s="139"/>
      <c r="M108" s="139"/>
      <c r="O108" s="256"/>
      <c r="P108" s="315"/>
    </row>
    <row r="109" spans="1:16" ht="15.75">
      <c r="A109" s="91"/>
      <c r="B109" s="349"/>
      <c r="C109" s="501" t="s">
        <v>121</v>
      </c>
      <c r="D109" s="328" t="s">
        <v>73</v>
      </c>
      <c r="E109" s="305">
        <v>2.3</v>
      </c>
      <c r="F109" s="301">
        <f t="shared" si="21"/>
        <v>1236.9399999999998</v>
      </c>
      <c r="G109" s="407">
        <f t="shared" si="24"/>
        <v>0</v>
      </c>
      <c r="H109" s="301">
        <f t="shared" si="22"/>
        <v>0</v>
      </c>
      <c r="I109" s="315"/>
      <c r="J109" s="301"/>
      <c r="K109" s="131">
        <f t="shared" si="23"/>
        <v>0</v>
      </c>
      <c r="L109" s="139"/>
      <c r="M109" s="139"/>
      <c r="O109" s="256"/>
      <c r="P109" s="315"/>
    </row>
    <row r="110" spans="1:16" ht="15.75">
      <c r="A110" s="405"/>
      <c r="B110" s="404"/>
      <c r="C110" s="501" t="s">
        <v>122</v>
      </c>
      <c r="D110" s="328" t="s">
        <v>73</v>
      </c>
      <c r="E110" s="615">
        <v>4.6</v>
      </c>
      <c r="F110" s="301">
        <f t="shared" si="21"/>
        <v>2473.8799999999997</v>
      </c>
      <c r="G110" s="407">
        <f t="shared" si="24"/>
        <v>0</v>
      </c>
      <c r="H110" s="301">
        <f t="shared" si="22"/>
        <v>0</v>
      </c>
      <c r="I110" s="410"/>
      <c r="J110" s="408"/>
      <c r="K110" s="131">
        <f t="shared" si="23"/>
        <v>0</v>
      </c>
      <c r="L110" s="139"/>
      <c r="M110" s="139"/>
      <c r="O110" s="256"/>
      <c r="P110" s="410"/>
    </row>
    <row r="111" spans="1:16" ht="10.8" thickBot="1">
      <c r="A111" s="221"/>
      <c r="B111" s="351"/>
      <c r="C111" s="621" t="s">
        <v>115</v>
      </c>
      <c r="D111" s="265" t="s">
        <v>73</v>
      </c>
      <c r="E111" s="265">
        <v>1.6</v>
      </c>
      <c r="F111" s="408">
        <f t="shared" si="21"/>
        <v>860.48</v>
      </c>
      <c r="G111" s="411">
        <f t="shared" si="24"/>
        <v>0</v>
      </c>
      <c r="H111" s="314">
        <f t="shared" si="22"/>
        <v>0</v>
      </c>
      <c r="I111" s="316"/>
      <c r="J111" s="314"/>
      <c r="K111" s="132">
        <f t="shared" si="23"/>
        <v>0</v>
      </c>
      <c r="L111" s="140"/>
      <c r="M111" s="140"/>
      <c r="O111" s="256"/>
      <c r="P111" s="316"/>
    </row>
    <row r="112" spans="1:16" s="451" customFormat="1" ht="15.75">
      <c r="A112" s="445">
        <v>12</v>
      </c>
      <c r="B112" s="346"/>
      <c r="C112" s="48" t="s">
        <v>85</v>
      </c>
      <c r="D112" s="303" t="s">
        <v>66</v>
      </c>
      <c r="E112" s="303"/>
      <c r="F112" s="300">
        <f>SUM(F113:F116)</f>
        <v>963</v>
      </c>
      <c r="G112" s="343"/>
      <c r="H112" s="300"/>
      <c r="I112" s="343">
        <f>P112/$K$4</f>
        <v>0</v>
      </c>
      <c r="J112" s="300">
        <f>F112*I112</f>
        <v>0</v>
      </c>
      <c r="K112" s="130">
        <f>H112+J112</f>
        <v>0</v>
      </c>
      <c r="L112" s="137">
        <f>SUM(K112:K118)</f>
        <v>0</v>
      </c>
      <c r="M112" s="137">
        <f>L112/F112</f>
        <v>0</v>
      </c>
      <c r="O112" s="170"/>
      <c r="P112" s="272"/>
    </row>
    <row r="113" spans="1:16" s="451" customFormat="1" ht="15.75" outlineLevel="1">
      <c r="A113" s="90"/>
      <c r="B113" s="347"/>
      <c r="C113" s="521" t="str">
        <f>C99</f>
        <v>დონე +0.00 (0 სართული)</v>
      </c>
      <c r="D113" s="305" t="s">
        <v>66</v>
      </c>
      <c r="E113" s="96"/>
      <c r="F113" s="308">
        <f>F36</f>
        <v>251</v>
      </c>
      <c r="G113" s="212"/>
      <c r="H113" s="294"/>
      <c r="I113" s="212"/>
      <c r="J113" s="294"/>
      <c r="K113" s="131"/>
      <c r="L113" s="138"/>
      <c r="M113" s="138"/>
      <c r="O113" s="179"/>
      <c r="P113" s="271"/>
    </row>
    <row r="114" spans="1:16" s="451" customFormat="1" ht="15.75" outlineLevel="1">
      <c r="A114" s="90"/>
      <c r="B114" s="347"/>
      <c r="C114" s="521" t="str">
        <f>C100</f>
        <v>დონე +4.38 (+1 სართული)</v>
      </c>
      <c r="D114" s="305" t="s">
        <v>66</v>
      </c>
      <c r="E114" s="96"/>
      <c r="F114" s="308">
        <f>F37</f>
        <v>251</v>
      </c>
      <c r="G114" s="212"/>
      <c r="H114" s="294"/>
      <c r="I114" s="212"/>
      <c r="J114" s="294"/>
      <c r="K114" s="131"/>
      <c r="L114" s="138"/>
      <c r="M114" s="138"/>
      <c r="O114" s="179"/>
      <c r="P114" s="271"/>
    </row>
    <row r="115" spans="1:16" s="451" customFormat="1" ht="15.75" outlineLevel="1">
      <c r="A115" s="90"/>
      <c r="B115" s="347"/>
      <c r="C115" s="521" t="str">
        <f>C101</f>
        <v>დონე +9.68 (+2 სართული)</v>
      </c>
      <c r="D115" s="305" t="s">
        <v>66</v>
      </c>
      <c r="E115" s="96"/>
      <c r="F115" s="308">
        <f>F38</f>
        <v>251</v>
      </c>
      <c r="G115" s="212"/>
      <c r="H115" s="294"/>
      <c r="I115" s="212"/>
      <c r="J115" s="294"/>
      <c r="K115" s="131"/>
      <c r="L115" s="138"/>
      <c r="M115" s="138"/>
      <c r="O115" s="179"/>
      <c r="P115" s="271"/>
    </row>
    <row r="116" spans="1:16" s="451" customFormat="1" ht="15.75" outlineLevel="1">
      <c r="A116" s="90"/>
      <c r="B116" s="347"/>
      <c r="C116" s="521" t="str">
        <f aca="true" t="shared" si="25" ref="C116">C103</f>
        <v>დონე +14.98 (+4 სართული)</v>
      </c>
      <c r="D116" s="305" t="s">
        <v>66</v>
      </c>
      <c r="E116" s="96"/>
      <c r="F116" s="308">
        <v>210</v>
      </c>
      <c r="G116" s="212"/>
      <c r="H116" s="294"/>
      <c r="I116" s="212"/>
      <c r="J116" s="294"/>
      <c r="K116" s="131"/>
      <c r="L116" s="138"/>
      <c r="M116" s="138"/>
      <c r="O116" s="179"/>
      <c r="P116" s="271"/>
    </row>
    <row r="117" spans="1:16" ht="15.75">
      <c r="A117" s="91"/>
      <c r="B117" s="349"/>
      <c r="C117" s="501" t="s">
        <v>85</v>
      </c>
      <c r="D117" s="305" t="s">
        <v>66</v>
      </c>
      <c r="E117" s="413">
        <v>1.05</v>
      </c>
      <c r="F117" s="301">
        <f>E117*F112</f>
        <v>1011.1500000000001</v>
      </c>
      <c r="G117" s="315">
        <f>O117/$K$4</f>
        <v>0</v>
      </c>
      <c r="H117" s="301">
        <f>F117*G117</f>
        <v>0</v>
      </c>
      <c r="I117" s="315"/>
      <c r="J117" s="301"/>
      <c r="K117" s="131">
        <f>H117+J117</f>
        <v>0</v>
      </c>
      <c r="L117" s="139"/>
      <c r="M117" s="139"/>
      <c r="O117" s="176"/>
      <c r="P117" s="269"/>
    </row>
    <row r="118" spans="1:16" ht="10.8" thickBot="1">
      <c r="A118" s="91"/>
      <c r="B118" s="349"/>
      <c r="C118" s="501" t="s">
        <v>33</v>
      </c>
      <c r="D118" s="502"/>
      <c r="E118" s="304">
        <v>1</v>
      </c>
      <c r="F118" s="301">
        <f>E118*F112</f>
        <v>963</v>
      </c>
      <c r="G118" s="315">
        <f>O118/$K$4</f>
        <v>0</v>
      </c>
      <c r="H118" s="301">
        <f>F118*G118</f>
        <v>0</v>
      </c>
      <c r="I118" s="315"/>
      <c r="J118" s="301"/>
      <c r="K118" s="131">
        <f>H118+J118</f>
        <v>0</v>
      </c>
      <c r="L118" s="139"/>
      <c r="M118" s="139"/>
      <c r="O118" s="176"/>
      <c r="P118" s="269"/>
    </row>
    <row r="119" spans="1:16" ht="10.8" thickBot="1">
      <c r="A119" s="288"/>
      <c r="B119" s="288"/>
      <c r="C119" s="289"/>
      <c r="D119" s="523"/>
      <c r="E119" s="51"/>
      <c r="F119" s="53"/>
      <c r="G119" s="112"/>
      <c r="H119" s="53"/>
      <c r="I119" s="365"/>
      <c r="J119" s="54"/>
      <c r="K119" s="129"/>
      <c r="L119" s="129"/>
      <c r="M119" s="129"/>
      <c r="O119" s="177"/>
      <c r="P119" s="365"/>
    </row>
    <row r="120" spans="1:16" s="12" customFormat="1" ht="10.8" thickBot="1">
      <c r="A120" s="6"/>
      <c r="B120" s="6"/>
      <c r="C120" s="6"/>
      <c r="D120" s="6"/>
      <c r="E120" s="6"/>
      <c r="F120" s="203"/>
      <c r="G120" s="115"/>
      <c r="H120" s="84">
        <f>SUM(H12:H119)</f>
        <v>0</v>
      </c>
      <c r="I120" s="125"/>
      <c r="J120" s="84">
        <f>SUM(J12:J118)</f>
        <v>0</v>
      </c>
      <c r="K120" s="133"/>
      <c r="L120" s="134"/>
      <c r="M120" s="134"/>
      <c r="O120" s="182"/>
      <c r="P120" s="124"/>
    </row>
    <row r="121" spans="1:16" s="12" customFormat="1" ht="10.8" thickBot="1">
      <c r="A121" s="6"/>
      <c r="B121" s="6"/>
      <c r="C121" s="6"/>
      <c r="D121" s="6"/>
      <c r="E121" s="6"/>
      <c r="F121" s="11"/>
      <c r="G121" s="116"/>
      <c r="H121" s="82" t="s">
        <v>67</v>
      </c>
      <c r="I121" s="225">
        <v>0.02</v>
      </c>
      <c r="J121" s="20"/>
      <c r="K121" s="98">
        <f>I121*H120</f>
        <v>0</v>
      </c>
      <c r="L121" s="134"/>
      <c r="M121" s="134"/>
      <c r="O121" s="182"/>
      <c r="P121" s="124"/>
    </row>
    <row r="122" spans="1:16" s="12" customFormat="1" ht="10.8" thickBot="1">
      <c r="A122" s="6"/>
      <c r="B122" s="6"/>
      <c r="C122" s="6"/>
      <c r="D122" s="6"/>
      <c r="E122" s="6"/>
      <c r="F122" s="11"/>
      <c r="G122" s="117"/>
      <c r="H122" s="31"/>
      <c r="I122" s="226"/>
      <c r="J122" s="31"/>
      <c r="K122" s="99"/>
      <c r="L122" s="134"/>
      <c r="M122" s="134"/>
      <c r="O122" s="182"/>
      <c r="P122" s="124"/>
    </row>
    <row r="123" spans="1:16" s="12" customFormat="1" ht="10.8" thickBot="1">
      <c r="A123" s="6"/>
      <c r="B123" s="6"/>
      <c r="C123" s="1"/>
      <c r="D123" s="415"/>
      <c r="E123" s="1"/>
      <c r="F123" s="5"/>
      <c r="G123" s="116"/>
      <c r="H123" s="20" t="s">
        <v>56</v>
      </c>
      <c r="I123" s="225"/>
      <c r="J123" s="20"/>
      <c r="K123" s="98">
        <f>SUM(K12:K121)</f>
        <v>0</v>
      </c>
      <c r="L123" s="142"/>
      <c r="M123" s="142"/>
      <c r="O123" s="182"/>
      <c r="P123" s="124"/>
    </row>
    <row r="124" spans="1:16" s="12" customFormat="1" ht="16.2" thickBot="1">
      <c r="A124" s="6"/>
      <c r="B124" s="6"/>
      <c r="C124" s="169"/>
      <c r="D124" s="169"/>
      <c r="E124" s="1"/>
      <c r="F124" s="5"/>
      <c r="G124" s="118"/>
      <c r="H124" s="34"/>
      <c r="I124" s="227"/>
      <c r="J124" s="34"/>
      <c r="K124" s="100"/>
      <c r="L124" s="142"/>
      <c r="M124" s="142"/>
      <c r="O124" s="182"/>
      <c r="P124" s="124"/>
    </row>
    <row r="125" spans="2:16" s="12" customFormat="1" ht="15.6">
      <c r="B125" s="85"/>
      <c r="C125" s="169"/>
      <c r="D125" s="169"/>
      <c r="F125" s="13"/>
      <c r="G125" s="119"/>
      <c r="H125" s="44" t="s">
        <v>68</v>
      </c>
      <c r="I125" s="228">
        <v>0.08</v>
      </c>
      <c r="J125" s="25"/>
      <c r="K125" s="101">
        <f>K123*I125</f>
        <v>0</v>
      </c>
      <c r="L125" s="142"/>
      <c r="M125" s="142"/>
      <c r="O125" s="182"/>
      <c r="P125" s="124"/>
    </row>
    <row r="126" spans="2:16" s="12" customFormat="1" ht="16.2" thickBot="1">
      <c r="B126" s="85"/>
      <c r="C126" s="169"/>
      <c r="D126" s="169"/>
      <c r="F126" s="13"/>
      <c r="G126" s="120"/>
      <c r="H126" s="42" t="s">
        <v>56</v>
      </c>
      <c r="I126" s="229"/>
      <c r="J126" s="43"/>
      <c r="K126" s="102">
        <f>K123+K125</f>
        <v>0</v>
      </c>
      <c r="L126" s="142"/>
      <c r="M126" s="142"/>
      <c r="O126" s="182"/>
      <c r="P126" s="124"/>
    </row>
    <row r="127" spans="2:16" s="12" customFormat="1" ht="16.2" thickBot="1">
      <c r="B127" s="85"/>
      <c r="C127" s="169"/>
      <c r="D127" s="169"/>
      <c r="F127" s="13"/>
      <c r="G127" s="121"/>
      <c r="H127" s="37"/>
      <c r="I127" s="230"/>
      <c r="J127" s="39"/>
      <c r="K127" s="103"/>
      <c r="L127" s="142"/>
      <c r="M127" s="142"/>
      <c r="O127" s="182"/>
      <c r="P127" s="124"/>
    </row>
    <row r="128" spans="2:16" s="12" customFormat="1" ht="15.75">
      <c r="B128" s="85"/>
      <c r="C128" s="8"/>
      <c r="F128" s="13"/>
      <c r="G128" s="122"/>
      <c r="H128" s="44" t="s">
        <v>69</v>
      </c>
      <c r="I128" s="228">
        <v>0.08</v>
      </c>
      <c r="J128" s="25"/>
      <c r="K128" s="101">
        <f>K126*I128</f>
        <v>0</v>
      </c>
      <c r="L128" s="142"/>
      <c r="M128" s="142"/>
      <c r="O128" s="182"/>
      <c r="P128" s="124"/>
    </row>
    <row r="129" spans="2:16" s="12" customFormat="1" ht="10.8" thickBot="1">
      <c r="B129" s="85"/>
      <c r="C129" s="8"/>
      <c r="F129" s="13"/>
      <c r="G129" s="120"/>
      <c r="H129" s="42" t="s">
        <v>56</v>
      </c>
      <c r="I129" s="229"/>
      <c r="J129" s="43"/>
      <c r="K129" s="102">
        <f>K126+K128</f>
        <v>0</v>
      </c>
      <c r="L129" s="142"/>
      <c r="M129" s="142"/>
      <c r="O129" s="182"/>
      <c r="P129" s="124"/>
    </row>
    <row r="130" spans="2:16" s="12" customFormat="1" ht="10.8" thickBot="1">
      <c r="B130" s="85"/>
      <c r="C130" s="8"/>
      <c r="F130" s="13"/>
      <c r="G130" s="121"/>
      <c r="H130" s="37"/>
      <c r="I130" s="230"/>
      <c r="J130" s="39"/>
      <c r="K130" s="103"/>
      <c r="L130" s="142"/>
      <c r="M130" s="142"/>
      <c r="O130" s="182"/>
      <c r="P130" s="124"/>
    </row>
    <row r="131" spans="2:16" s="12" customFormat="1" ht="15.75">
      <c r="B131" s="85"/>
      <c r="C131" s="8"/>
      <c r="F131" s="13"/>
      <c r="G131" s="122"/>
      <c r="H131" s="44" t="s">
        <v>70</v>
      </c>
      <c r="I131" s="228">
        <v>0</v>
      </c>
      <c r="J131" s="25"/>
      <c r="K131" s="101">
        <f>K129*I131</f>
        <v>0</v>
      </c>
      <c r="L131" s="142"/>
      <c r="M131" s="142"/>
      <c r="O131" s="182"/>
      <c r="P131" s="124"/>
    </row>
    <row r="132" spans="1:16" s="8" customFormat="1" ht="10.8" thickBot="1">
      <c r="A132" s="12"/>
      <c r="B132" s="85"/>
      <c r="D132" s="12"/>
      <c r="E132" s="12"/>
      <c r="F132" s="13"/>
      <c r="G132" s="120"/>
      <c r="H132" s="42" t="s">
        <v>56</v>
      </c>
      <c r="I132" s="229"/>
      <c r="J132" s="43"/>
      <c r="K132" s="102">
        <f>K129+K131</f>
        <v>0</v>
      </c>
      <c r="L132" s="143"/>
      <c r="M132" s="143"/>
      <c r="O132" s="182"/>
      <c r="P132" s="124"/>
    </row>
    <row r="133" spans="1:16" s="8" customFormat="1" ht="10.8" thickBot="1">
      <c r="A133" s="12"/>
      <c r="B133" s="85"/>
      <c r="D133" s="12"/>
      <c r="E133" s="12"/>
      <c r="F133" s="13"/>
      <c r="G133" s="121"/>
      <c r="H133" s="37"/>
      <c r="I133" s="230"/>
      <c r="J133" s="39"/>
      <c r="K133" s="103"/>
      <c r="L133" s="143"/>
      <c r="M133" s="143"/>
      <c r="O133" s="182"/>
      <c r="P133" s="124"/>
    </row>
    <row r="134" spans="1:16" ht="15.75">
      <c r="A134" s="12"/>
      <c r="B134" s="85"/>
      <c r="C134" s="8"/>
      <c r="D134" s="12"/>
      <c r="E134" s="12"/>
      <c r="F134" s="13"/>
      <c r="G134" s="122"/>
      <c r="H134" s="23" t="s">
        <v>71</v>
      </c>
      <c r="I134" s="228">
        <v>0.18</v>
      </c>
      <c r="J134" s="25"/>
      <c r="K134" s="104">
        <f>K132*I134</f>
        <v>0</v>
      </c>
      <c r="L134" s="144"/>
      <c r="M134" s="144"/>
      <c r="O134" s="182"/>
      <c r="P134" s="124"/>
    </row>
    <row r="135" spans="1:16" ht="10.8" thickBot="1">
      <c r="A135" s="12"/>
      <c r="B135" s="85"/>
      <c r="C135" s="8"/>
      <c r="D135" s="12"/>
      <c r="E135" s="12"/>
      <c r="F135" s="13"/>
      <c r="G135" s="120"/>
      <c r="H135" s="17" t="s">
        <v>56</v>
      </c>
      <c r="I135" s="106" t="s">
        <v>12</v>
      </c>
      <c r="J135" s="18"/>
      <c r="K135" s="105">
        <f>K132+K134</f>
        <v>0</v>
      </c>
      <c r="L135" s="144"/>
      <c r="M135" s="144"/>
      <c r="O135" s="182"/>
      <c r="P135" s="124"/>
    </row>
    <row r="136" spans="1:16" ht="15.75">
      <c r="A136" s="12"/>
      <c r="B136" s="85"/>
      <c r="C136" s="8"/>
      <c r="D136" s="12"/>
      <c r="E136" s="12"/>
      <c r="F136" s="13"/>
      <c r="G136" s="123"/>
      <c r="H136" s="13"/>
      <c r="I136" s="123"/>
      <c r="J136" s="13"/>
      <c r="K136" s="134"/>
      <c r="L136" s="145"/>
      <c r="M136" s="145"/>
      <c r="O136" s="182"/>
      <c r="P136" s="124"/>
    </row>
    <row r="137" spans="1:16" ht="15.75">
      <c r="A137" s="8"/>
      <c r="B137" s="86"/>
      <c r="C137" s="8"/>
      <c r="D137" s="15"/>
      <c r="E137" s="8"/>
      <c r="F137" s="9"/>
      <c r="G137" s="124"/>
      <c r="H137" s="9"/>
      <c r="I137" s="124"/>
      <c r="J137" s="9"/>
      <c r="K137" s="127"/>
      <c r="L137" s="68"/>
      <c r="M137" s="68"/>
      <c r="O137" s="182"/>
      <c r="P137" s="124"/>
    </row>
  </sheetData>
  <mergeCells count="18">
    <mergeCell ref="O7:O8"/>
    <mergeCell ref="P7:P8"/>
    <mergeCell ref="C1:E1"/>
    <mergeCell ref="A97:M97"/>
    <mergeCell ref="K7:K8"/>
    <mergeCell ref="L7:L8"/>
    <mergeCell ref="M7:M8"/>
    <mergeCell ref="A2:C2"/>
    <mergeCell ref="A44:M44"/>
    <mergeCell ref="I2:K2"/>
    <mergeCell ref="A3:B3"/>
    <mergeCell ref="A7:A8"/>
    <mergeCell ref="B7:B8"/>
    <mergeCell ref="D7:D8"/>
    <mergeCell ref="E7:F7"/>
    <mergeCell ref="A11:M11"/>
    <mergeCell ref="G7:H7"/>
    <mergeCell ref="I7:J7"/>
  </mergeCells>
  <printOptions/>
  <pageMargins left="0.35000000000000003" right="0.7500000000000001" top="1" bottom="1.18" header="0.5" footer="0.5"/>
  <pageSetup fitToHeight="1" fitToWidth="1" horizontalDpi="600" verticalDpi="600" orientation="portrait" paperSize="9" scale="14" r:id="rId1"/>
  <headerFooter>
    <oddHeader>&amp;L&amp;16M/2&amp;12 Nutsubidze Project &amp;C&amp;"-,Bold"&amp;18&amp;UBoQ - Shell &amp; Core Works</oddHeader>
    <oddFooter>&amp;L&amp;"-,Bold"&amp;8&amp;K00-048For any queries with regards to BoQ please contact at:    cmc@cmconsulting.ge&amp;"-,Regular"&amp;12&amp;K01+000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P196"/>
  <sheetViews>
    <sheetView showGridLines="0" zoomScalePageLayoutView="110" workbookViewId="0" topLeftCell="A163">
      <selection activeCell="C80" sqref="C80"/>
    </sheetView>
  </sheetViews>
  <sheetFormatPr defaultColWidth="8.875" defaultRowHeight="15.75" outlineLevelRow="1"/>
  <cols>
    <col min="1" max="1" width="3.50390625" style="6" bestFit="1" customWidth="1"/>
    <col min="2" max="2" width="7.875" style="6" customWidth="1"/>
    <col min="3" max="3" width="53.00390625" style="6" customWidth="1"/>
    <col min="4" max="4" width="5.625" style="6" bestFit="1" customWidth="1"/>
    <col min="5" max="5" width="9.375" style="6" customWidth="1"/>
    <col min="6" max="6" width="9.375" style="444" customWidth="1"/>
    <col min="7" max="7" width="9.875" style="111" bestFit="1" customWidth="1"/>
    <col min="8" max="8" width="17.125" style="444" bestFit="1" customWidth="1"/>
    <col min="9" max="9" width="13.50390625" style="111" customWidth="1"/>
    <col min="10" max="10" width="17.125" style="444" customWidth="1"/>
    <col min="11" max="11" width="12.375" style="128" bestFit="1" customWidth="1"/>
    <col min="12" max="12" width="12.50390625" style="136" customWidth="1"/>
    <col min="13" max="13" width="9.375" style="136" customWidth="1"/>
    <col min="14" max="14" width="8.875" style="6" customWidth="1"/>
    <col min="15" max="15" width="9.875" style="175" bestFit="1" customWidth="1"/>
    <col min="16" max="16" width="13.50390625" style="111" customWidth="1"/>
    <col min="17" max="16384" width="8.875" style="6" customWidth="1"/>
  </cols>
  <sheetData>
    <row r="1" spans="1:16" ht="18" thickBot="1">
      <c r="A1" s="1"/>
      <c r="B1" s="2"/>
      <c r="C1" s="817" t="str">
        <f>TOTAL!A2</f>
        <v>სითი მოლი საბურთალო</v>
      </c>
      <c r="D1" s="817"/>
      <c r="E1" s="817"/>
      <c r="F1" s="451"/>
      <c r="G1" s="107"/>
      <c r="H1" s="451"/>
      <c r="I1" s="367"/>
      <c r="J1" s="190"/>
      <c r="K1" s="293"/>
      <c r="L1" s="135"/>
      <c r="M1" s="135"/>
      <c r="O1" s="171"/>
      <c r="P1" s="107"/>
    </row>
    <row r="2" spans="1:16" ht="16.2" thickBot="1">
      <c r="A2" s="836" t="s">
        <v>99</v>
      </c>
      <c r="B2" s="836"/>
      <c r="C2" s="837"/>
      <c r="D2" s="565"/>
      <c r="E2" s="1"/>
      <c r="F2" s="451"/>
      <c r="G2" s="107"/>
      <c r="H2" s="290"/>
      <c r="I2" s="838"/>
      <c r="J2" s="839"/>
      <c r="K2" s="840"/>
      <c r="L2" s="128"/>
      <c r="M2" s="128"/>
      <c r="O2" s="171"/>
      <c r="P2" s="6"/>
    </row>
    <row r="3" spans="1:16" ht="21" thickBot="1">
      <c r="A3" s="841"/>
      <c r="B3" s="841"/>
      <c r="C3" s="45"/>
      <c r="E3" s="45"/>
      <c r="F3" s="45"/>
      <c r="G3" s="108"/>
      <c r="H3" s="291"/>
      <c r="I3" s="588" t="s">
        <v>62</v>
      </c>
      <c r="J3" s="589" t="s">
        <v>63</v>
      </c>
      <c r="K3" s="590" t="s">
        <v>64</v>
      </c>
      <c r="L3" s="128"/>
      <c r="M3" s="128"/>
      <c r="O3" s="172"/>
      <c r="P3" s="6"/>
    </row>
    <row r="4" spans="1:16" ht="15.6" thickBot="1">
      <c r="A4" s="1"/>
      <c r="B4" s="2"/>
      <c r="C4" s="566"/>
      <c r="D4" s="47"/>
      <c r="E4" s="46"/>
      <c r="F4" s="46"/>
      <c r="G4" s="109"/>
      <c r="H4" s="292"/>
      <c r="I4" s="296">
        <f>K194</f>
        <v>0</v>
      </c>
      <c r="J4" s="297">
        <f>I4*K4</f>
        <v>0</v>
      </c>
      <c r="K4" s="403">
        <f>TOTAL!C24</f>
        <v>2.45</v>
      </c>
      <c r="L4" s="128"/>
      <c r="M4" s="128"/>
      <c r="O4" s="173"/>
      <c r="P4" s="6"/>
    </row>
    <row r="5" spans="1:16" ht="15.75">
      <c r="A5" s="1"/>
      <c r="B5" s="2"/>
      <c r="C5" s="1"/>
      <c r="D5" s="565"/>
      <c r="E5" s="565"/>
      <c r="F5" s="3"/>
      <c r="G5" s="110"/>
      <c r="H5" s="3"/>
      <c r="I5" s="110"/>
      <c r="J5" s="451"/>
      <c r="K5" s="127"/>
      <c r="L5" s="68"/>
      <c r="M5" s="68"/>
      <c r="O5" s="174"/>
      <c r="P5" s="6"/>
    </row>
    <row r="6" ht="10.8" thickBot="1"/>
    <row r="7" spans="1:16" ht="15.75" customHeight="1" thickBot="1">
      <c r="A7" s="842" t="s">
        <v>0</v>
      </c>
      <c r="B7" s="844" t="s">
        <v>61</v>
      </c>
      <c r="C7" s="321" t="s">
        <v>52</v>
      </c>
      <c r="D7" s="846" t="s">
        <v>53</v>
      </c>
      <c r="E7" s="838" t="s">
        <v>50</v>
      </c>
      <c r="F7" s="840"/>
      <c r="G7" s="838" t="s">
        <v>54</v>
      </c>
      <c r="H7" s="840"/>
      <c r="I7" s="838" t="s">
        <v>55</v>
      </c>
      <c r="J7" s="840"/>
      <c r="K7" s="830" t="s">
        <v>56</v>
      </c>
      <c r="L7" s="830" t="s">
        <v>57</v>
      </c>
      <c r="M7" s="830" t="s">
        <v>58</v>
      </c>
      <c r="O7" s="832" t="s">
        <v>148</v>
      </c>
      <c r="P7" s="834" t="s">
        <v>149</v>
      </c>
    </row>
    <row r="8" spans="1:16" ht="23.25" customHeight="1" thickBot="1">
      <c r="A8" s="843"/>
      <c r="B8" s="845"/>
      <c r="C8" s="282"/>
      <c r="D8" s="847"/>
      <c r="E8" s="281" t="s">
        <v>59</v>
      </c>
      <c r="F8" s="282" t="s">
        <v>56</v>
      </c>
      <c r="G8" s="570" t="s">
        <v>60</v>
      </c>
      <c r="H8" s="282" t="s">
        <v>56</v>
      </c>
      <c r="I8" s="364" t="s">
        <v>60</v>
      </c>
      <c r="J8" s="282" t="s">
        <v>56</v>
      </c>
      <c r="K8" s="831"/>
      <c r="L8" s="831"/>
      <c r="M8" s="831"/>
      <c r="O8" s="853"/>
      <c r="P8" s="854"/>
    </row>
    <row r="9" spans="1:16" ht="10.8" thickBot="1">
      <c r="A9" s="322" t="s">
        <v>1</v>
      </c>
      <c r="B9" s="332">
        <v>2</v>
      </c>
      <c r="C9" s="280" t="s">
        <v>2</v>
      </c>
      <c r="D9" s="280" t="s">
        <v>3</v>
      </c>
      <c r="E9" s="287" t="s">
        <v>14</v>
      </c>
      <c r="F9" s="280" t="s">
        <v>4</v>
      </c>
      <c r="G9" s="287">
        <v>7</v>
      </c>
      <c r="H9" s="280" t="s">
        <v>6</v>
      </c>
      <c r="I9" s="279">
        <v>9</v>
      </c>
      <c r="J9" s="279" t="s">
        <v>9</v>
      </c>
      <c r="K9" s="279" t="s">
        <v>9</v>
      </c>
      <c r="L9" s="279" t="s">
        <v>27</v>
      </c>
      <c r="M9" s="279" t="s">
        <v>25</v>
      </c>
      <c r="O9" s="318" t="s">
        <v>18</v>
      </c>
      <c r="P9" s="274" t="s">
        <v>26</v>
      </c>
    </row>
    <row r="10" spans="1:16" ht="10.8" thickBot="1">
      <c r="A10" s="288"/>
      <c r="B10" s="54"/>
      <c r="C10" s="54"/>
      <c r="D10" s="286"/>
      <c r="E10" s="288"/>
      <c r="F10" s="54"/>
      <c r="G10" s="365"/>
      <c r="H10" s="54"/>
      <c r="I10" s="366"/>
      <c r="J10" s="288"/>
      <c r="K10" s="129"/>
      <c r="L10" s="129"/>
      <c r="M10" s="129"/>
      <c r="O10" s="177"/>
      <c r="P10" s="365"/>
    </row>
    <row r="11" spans="1:16" ht="29.1" customHeight="1" thickBot="1">
      <c r="A11" s="850" t="s">
        <v>34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2"/>
      <c r="O11" s="178"/>
      <c r="P11" s="113"/>
    </row>
    <row r="12" spans="1:16" s="451" customFormat="1" ht="15.75">
      <c r="A12" s="55">
        <v>1</v>
      </c>
      <c r="B12" s="370"/>
      <c r="C12" s="352" t="s">
        <v>105</v>
      </c>
      <c r="D12" s="306" t="s">
        <v>81</v>
      </c>
      <c r="E12" s="303"/>
      <c r="F12" s="300">
        <f>SUM(F13:F28)</f>
        <v>7796.800000000002</v>
      </c>
      <c r="G12" s="343"/>
      <c r="H12" s="300"/>
      <c r="I12" s="343">
        <f>P12/$K$4</f>
        <v>0</v>
      </c>
      <c r="J12" s="300">
        <f>F12*I12</f>
        <v>0</v>
      </c>
      <c r="K12" s="130">
        <f>H12+J12</f>
        <v>0</v>
      </c>
      <c r="L12" s="137">
        <f>SUM(K12:K31)</f>
        <v>0</v>
      </c>
      <c r="M12" s="137">
        <f>L12/F12</f>
        <v>0</v>
      </c>
      <c r="O12" s="170"/>
      <c r="P12" s="170"/>
    </row>
    <row r="13" spans="1:16" s="451" customFormat="1" ht="15.75" outlineLevel="1">
      <c r="A13" s="90"/>
      <c r="B13" s="347"/>
      <c r="C13" s="345" t="s">
        <v>92</v>
      </c>
      <c r="D13" s="308" t="s">
        <v>81</v>
      </c>
      <c r="E13" s="96"/>
      <c r="F13" s="308">
        <f>404+56.7</f>
        <v>460.7</v>
      </c>
      <c r="G13" s="212"/>
      <c r="H13" s="294"/>
      <c r="I13" s="212"/>
      <c r="J13" s="294"/>
      <c r="K13" s="131"/>
      <c r="L13" s="138"/>
      <c r="M13" s="138"/>
      <c r="O13" s="179"/>
      <c r="P13" s="271"/>
    </row>
    <row r="14" spans="1:16" s="451" customFormat="1" ht="15.75" outlineLevel="1">
      <c r="A14" s="90"/>
      <c r="B14" s="347"/>
      <c r="C14" s="345" t="s">
        <v>125</v>
      </c>
      <c r="D14" s="308" t="s">
        <v>81</v>
      </c>
      <c r="E14" s="96"/>
      <c r="F14" s="308">
        <f>513+57.7</f>
        <v>570.7</v>
      </c>
      <c r="G14" s="212"/>
      <c r="H14" s="294"/>
      <c r="I14" s="212"/>
      <c r="J14" s="294"/>
      <c r="K14" s="131"/>
      <c r="L14" s="138"/>
      <c r="M14" s="138"/>
      <c r="O14" s="179"/>
      <c r="P14" s="271"/>
    </row>
    <row r="15" spans="1:16" s="451" customFormat="1" ht="15.75" outlineLevel="1">
      <c r="A15" s="90"/>
      <c r="B15" s="347"/>
      <c r="C15" s="345" t="s">
        <v>126</v>
      </c>
      <c r="D15" s="308" t="s">
        <v>81</v>
      </c>
      <c r="E15" s="96"/>
      <c r="F15" s="308">
        <f>519+58.7</f>
        <v>577.7</v>
      </c>
      <c r="G15" s="212"/>
      <c r="H15" s="294"/>
      <c r="I15" s="212"/>
      <c r="J15" s="294"/>
      <c r="K15" s="131"/>
      <c r="L15" s="138"/>
      <c r="M15" s="138"/>
      <c r="O15" s="179"/>
      <c r="P15" s="271"/>
    </row>
    <row r="16" spans="1:16" s="451" customFormat="1" ht="15.75" outlineLevel="1">
      <c r="A16" s="90"/>
      <c r="B16" s="347"/>
      <c r="C16" s="345" t="s">
        <v>127</v>
      </c>
      <c r="D16" s="308" t="s">
        <v>81</v>
      </c>
      <c r="E16" s="96"/>
      <c r="F16" s="308">
        <f>438+58.3</f>
        <v>496.3</v>
      </c>
      <c r="G16" s="212"/>
      <c r="H16" s="294"/>
      <c r="I16" s="212"/>
      <c r="J16" s="294"/>
      <c r="K16" s="131"/>
      <c r="L16" s="138"/>
      <c r="M16" s="138"/>
      <c r="O16" s="179"/>
      <c r="P16" s="271"/>
    </row>
    <row r="17" spans="1:16" s="451" customFormat="1" ht="15.75" outlineLevel="1">
      <c r="A17" s="90"/>
      <c r="B17" s="347"/>
      <c r="C17" s="345" t="s">
        <v>128</v>
      </c>
      <c r="D17" s="308" t="s">
        <v>81</v>
      </c>
      <c r="E17" s="96"/>
      <c r="F17" s="308">
        <f>438+58.3</f>
        <v>496.3</v>
      </c>
      <c r="G17" s="212"/>
      <c r="H17" s="294"/>
      <c r="I17" s="212"/>
      <c r="J17" s="294"/>
      <c r="K17" s="131"/>
      <c r="L17" s="138"/>
      <c r="M17" s="138"/>
      <c r="O17" s="179"/>
      <c r="P17" s="271"/>
    </row>
    <row r="18" spans="1:16" s="451" customFormat="1" ht="15.75" outlineLevel="1">
      <c r="A18" s="90"/>
      <c r="B18" s="347"/>
      <c r="C18" s="345" t="s">
        <v>129</v>
      </c>
      <c r="D18" s="308" t="s">
        <v>81</v>
      </c>
      <c r="E18" s="96"/>
      <c r="F18" s="308">
        <f aca="true" t="shared" si="0" ref="F18:F26">438+58.3</f>
        <v>496.3</v>
      </c>
      <c r="G18" s="212"/>
      <c r="H18" s="294"/>
      <c r="I18" s="212"/>
      <c r="J18" s="294"/>
      <c r="K18" s="131"/>
      <c r="L18" s="138"/>
      <c r="M18" s="138"/>
      <c r="O18" s="179"/>
      <c r="P18" s="271"/>
    </row>
    <row r="19" spans="1:16" s="451" customFormat="1" ht="15.75" outlineLevel="1">
      <c r="A19" s="90"/>
      <c r="B19" s="347"/>
      <c r="C19" s="345" t="s">
        <v>130</v>
      </c>
      <c r="D19" s="308" t="s">
        <v>81</v>
      </c>
      <c r="E19" s="96"/>
      <c r="F19" s="308">
        <f t="shared" si="0"/>
        <v>496.3</v>
      </c>
      <c r="G19" s="212"/>
      <c r="H19" s="294"/>
      <c r="I19" s="212"/>
      <c r="J19" s="294"/>
      <c r="K19" s="131"/>
      <c r="L19" s="138"/>
      <c r="M19" s="138"/>
      <c r="O19" s="179"/>
      <c r="P19" s="271"/>
    </row>
    <row r="20" spans="1:16" s="451" customFormat="1" ht="15.75" outlineLevel="1">
      <c r="A20" s="90"/>
      <c r="B20" s="347"/>
      <c r="C20" s="345" t="s">
        <v>131</v>
      </c>
      <c r="D20" s="308" t="s">
        <v>81</v>
      </c>
      <c r="E20" s="96"/>
      <c r="F20" s="308">
        <f t="shared" si="0"/>
        <v>496.3</v>
      </c>
      <c r="G20" s="212"/>
      <c r="H20" s="294"/>
      <c r="I20" s="212"/>
      <c r="J20" s="294"/>
      <c r="K20" s="131"/>
      <c r="L20" s="138"/>
      <c r="M20" s="138"/>
      <c r="O20" s="179"/>
      <c r="P20" s="271"/>
    </row>
    <row r="21" spans="1:16" s="451" customFormat="1" ht="15.75" outlineLevel="1">
      <c r="A21" s="90"/>
      <c r="B21" s="347"/>
      <c r="C21" s="345" t="s">
        <v>132</v>
      </c>
      <c r="D21" s="308" t="s">
        <v>81</v>
      </c>
      <c r="E21" s="96"/>
      <c r="F21" s="308">
        <f t="shared" si="0"/>
        <v>496.3</v>
      </c>
      <c r="G21" s="212"/>
      <c r="H21" s="294"/>
      <c r="I21" s="212"/>
      <c r="J21" s="294"/>
      <c r="K21" s="131"/>
      <c r="L21" s="138"/>
      <c r="M21" s="138"/>
      <c r="O21" s="179"/>
      <c r="P21" s="271"/>
    </row>
    <row r="22" spans="1:16" s="451" customFormat="1" ht="15.75" outlineLevel="1">
      <c r="A22" s="90"/>
      <c r="B22" s="347"/>
      <c r="C22" s="345" t="s">
        <v>133</v>
      </c>
      <c r="D22" s="308" t="s">
        <v>81</v>
      </c>
      <c r="E22" s="96"/>
      <c r="F22" s="308">
        <f t="shared" si="0"/>
        <v>496.3</v>
      </c>
      <c r="G22" s="212"/>
      <c r="H22" s="294"/>
      <c r="I22" s="212"/>
      <c r="J22" s="294"/>
      <c r="K22" s="131"/>
      <c r="L22" s="138"/>
      <c r="M22" s="138"/>
      <c r="O22" s="179"/>
      <c r="P22" s="271"/>
    </row>
    <row r="23" spans="1:16" s="451" customFormat="1" ht="15.75" outlineLevel="1">
      <c r="A23" s="90"/>
      <c r="B23" s="347"/>
      <c r="C23" s="345" t="s">
        <v>134</v>
      </c>
      <c r="D23" s="308" t="s">
        <v>81</v>
      </c>
      <c r="E23" s="96"/>
      <c r="F23" s="308">
        <f t="shared" si="0"/>
        <v>496.3</v>
      </c>
      <c r="G23" s="212"/>
      <c r="H23" s="294"/>
      <c r="I23" s="212"/>
      <c r="J23" s="294"/>
      <c r="K23" s="131"/>
      <c r="L23" s="138"/>
      <c r="M23" s="138"/>
      <c r="O23" s="179"/>
      <c r="P23" s="271"/>
    </row>
    <row r="24" spans="1:16" s="451" customFormat="1" ht="15.75" outlineLevel="1">
      <c r="A24" s="90"/>
      <c r="B24" s="347"/>
      <c r="C24" s="345" t="s">
        <v>135</v>
      </c>
      <c r="D24" s="308" t="s">
        <v>81</v>
      </c>
      <c r="E24" s="96"/>
      <c r="F24" s="308">
        <f t="shared" si="0"/>
        <v>496.3</v>
      </c>
      <c r="G24" s="212"/>
      <c r="H24" s="294"/>
      <c r="I24" s="212"/>
      <c r="J24" s="294"/>
      <c r="K24" s="131"/>
      <c r="L24" s="138"/>
      <c r="M24" s="138"/>
      <c r="O24" s="179"/>
      <c r="P24" s="271"/>
    </row>
    <row r="25" spans="1:16" s="451" customFormat="1" ht="15.75" outlineLevel="1">
      <c r="A25" s="90"/>
      <c r="B25" s="347"/>
      <c r="C25" s="345" t="s">
        <v>136</v>
      </c>
      <c r="D25" s="308" t="s">
        <v>81</v>
      </c>
      <c r="E25" s="96"/>
      <c r="F25" s="308">
        <f t="shared" si="0"/>
        <v>496.3</v>
      </c>
      <c r="G25" s="212"/>
      <c r="H25" s="294"/>
      <c r="I25" s="212"/>
      <c r="J25" s="294"/>
      <c r="K25" s="131"/>
      <c r="L25" s="138"/>
      <c r="M25" s="138"/>
      <c r="O25" s="179"/>
      <c r="P25" s="271"/>
    </row>
    <row r="26" spans="1:16" s="451" customFormat="1" ht="15.75" outlineLevel="1">
      <c r="A26" s="90"/>
      <c r="B26" s="347"/>
      <c r="C26" s="345" t="s">
        <v>137</v>
      </c>
      <c r="D26" s="308" t="s">
        <v>81</v>
      </c>
      <c r="E26" s="96"/>
      <c r="F26" s="308">
        <f t="shared" si="0"/>
        <v>496.3</v>
      </c>
      <c r="G26" s="212"/>
      <c r="H26" s="294"/>
      <c r="I26" s="212"/>
      <c r="J26" s="294"/>
      <c r="K26" s="131"/>
      <c r="L26" s="138"/>
      <c r="M26" s="138"/>
      <c r="O26" s="179"/>
      <c r="P26" s="271"/>
    </row>
    <row r="27" spans="1:16" s="451" customFormat="1" ht="15.75" outlineLevel="1">
      <c r="A27" s="90"/>
      <c r="B27" s="347"/>
      <c r="C27" s="345" t="s">
        <v>138</v>
      </c>
      <c r="D27" s="308" t="s">
        <v>81</v>
      </c>
      <c r="E27" s="96"/>
      <c r="F27" s="308">
        <v>428.6</v>
      </c>
      <c r="G27" s="212"/>
      <c r="H27" s="294"/>
      <c r="I27" s="212"/>
      <c r="J27" s="294"/>
      <c r="K27" s="131"/>
      <c r="L27" s="138"/>
      <c r="M27" s="138"/>
      <c r="O27" s="179"/>
      <c r="P27" s="271"/>
    </row>
    <row r="28" spans="1:16" s="451" customFormat="1" ht="15.75" outlineLevel="1">
      <c r="A28" s="90"/>
      <c r="B28" s="347"/>
      <c r="C28" s="345" t="s">
        <v>139</v>
      </c>
      <c r="D28" s="308" t="s">
        <v>81</v>
      </c>
      <c r="E28" s="96"/>
      <c r="F28" s="308">
        <v>299.8</v>
      </c>
      <c r="G28" s="212"/>
      <c r="H28" s="294"/>
      <c r="I28" s="212"/>
      <c r="J28" s="294"/>
      <c r="K28" s="131"/>
      <c r="L28" s="138"/>
      <c r="M28" s="138"/>
      <c r="O28" s="179"/>
      <c r="P28" s="271"/>
    </row>
    <row r="29" spans="1:16" s="451" customFormat="1" ht="15.75" outlineLevel="1">
      <c r="A29" s="90"/>
      <c r="B29" s="390"/>
      <c r="C29" s="372" t="s">
        <v>96</v>
      </c>
      <c r="D29" s="305" t="s">
        <v>75</v>
      </c>
      <c r="E29" s="539">
        <f>0.03*1.03</f>
        <v>0.0309</v>
      </c>
      <c r="F29" s="368">
        <f>E29*F12</f>
        <v>240.92112000000006</v>
      </c>
      <c r="G29" s="373">
        <f>O29/$K$4</f>
        <v>0</v>
      </c>
      <c r="H29" s="312">
        <f>G29*F29</f>
        <v>0</v>
      </c>
      <c r="I29" s="373"/>
      <c r="J29" s="312"/>
      <c r="K29" s="131">
        <f>J29+H29</f>
        <v>0</v>
      </c>
      <c r="L29" s="138"/>
      <c r="M29" s="138"/>
      <c r="O29" s="453"/>
      <c r="P29" s="114"/>
    </row>
    <row r="30" spans="1:16" ht="15.75">
      <c r="A30" s="91"/>
      <c r="B30" s="414"/>
      <c r="C30" s="219" t="s">
        <v>88</v>
      </c>
      <c r="D30" s="260" t="s">
        <v>81</v>
      </c>
      <c r="E30" s="369">
        <v>1.1</v>
      </c>
      <c r="F30" s="368">
        <f>E30*F12</f>
        <v>8576.480000000003</v>
      </c>
      <c r="G30" s="373">
        <f>O30/$K$4</f>
        <v>0</v>
      </c>
      <c r="H30" s="312">
        <f>G30*F30</f>
        <v>0</v>
      </c>
      <c r="I30" s="315"/>
      <c r="J30" s="301"/>
      <c r="K30" s="131">
        <f>J30+H30</f>
        <v>0</v>
      </c>
      <c r="L30" s="139"/>
      <c r="M30" s="139"/>
      <c r="O30" s="179"/>
      <c r="P30" s="176"/>
    </row>
    <row r="31" spans="1:16" ht="10.8" thickBot="1">
      <c r="A31" s="91"/>
      <c r="B31" s="414"/>
      <c r="C31" s="219" t="s">
        <v>97</v>
      </c>
      <c r="D31" s="260" t="s">
        <v>75</v>
      </c>
      <c r="E31" s="369">
        <f>0.04*1.02</f>
        <v>0.0408</v>
      </c>
      <c r="F31" s="368">
        <f>E31*F12</f>
        <v>318.1094400000001</v>
      </c>
      <c r="G31" s="373">
        <f>O31/$K$4</f>
        <v>0</v>
      </c>
      <c r="H31" s="312">
        <f>G31*F31</f>
        <v>0</v>
      </c>
      <c r="I31" s="315"/>
      <c r="J31" s="301"/>
      <c r="K31" s="131">
        <f>J31+H31</f>
        <v>0</v>
      </c>
      <c r="L31" s="139"/>
      <c r="M31" s="139"/>
      <c r="O31" s="604"/>
      <c r="P31" s="176"/>
    </row>
    <row r="32" spans="1:16" s="451" customFormat="1" ht="15.75">
      <c r="A32" s="445">
        <v>2</v>
      </c>
      <c r="B32" s="389"/>
      <c r="C32" s="352" t="s">
        <v>95</v>
      </c>
      <c r="D32" s="306" t="s">
        <v>81</v>
      </c>
      <c r="E32" s="303"/>
      <c r="F32" s="300">
        <f>SUM(F33:F48)</f>
        <v>216.00000000000006</v>
      </c>
      <c r="G32" s="343"/>
      <c r="H32" s="300"/>
      <c r="I32" s="343">
        <f>P32/$K$4</f>
        <v>0</v>
      </c>
      <c r="J32" s="300">
        <f>F32*I32</f>
        <v>0</v>
      </c>
      <c r="K32" s="130">
        <f>H32+J32</f>
        <v>0</v>
      </c>
      <c r="L32" s="137">
        <f>SUM(K32:K52)</f>
        <v>0</v>
      </c>
      <c r="M32" s="137">
        <f>L32/F32</f>
        <v>0</v>
      </c>
      <c r="O32" s="170"/>
      <c r="P32" s="170"/>
    </row>
    <row r="33" spans="1:16" s="451" customFormat="1" ht="15.75" outlineLevel="1">
      <c r="A33" s="90"/>
      <c r="B33" s="347"/>
      <c r="C33" s="345" t="str">
        <f aca="true" t="shared" si="1" ref="C33:C48">C13</f>
        <v>დონე +14.98 (+3 სართული)</v>
      </c>
      <c r="D33" s="308" t="s">
        <v>81</v>
      </c>
      <c r="E33" s="96"/>
      <c r="F33" s="308">
        <v>14.4</v>
      </c>
      <c r="G33" s="212"/>
      <c r="H33" s="294"/>
      <c r="I33" s="212"/>
      <c r="J33" s="294"/>
      <c r="K33" s="131"/>
      <c r="L33" s="138"/>
      <c r="M33" s="138"/>
      <c r="O33" s="179"/>
      <c r="P33" s="271"/>
    </row>
    <row r="34" spans="1:16" s="451" customFormat="1" ht="15.75" outlineLevel="1">
      <c r="A34" s="90"/>
      <c r="B34" s="347"/>
      <c r="C34" s="345" t="str">
        <f t="shared" si="1"/>
        <v>დონე +20.28 (+4 სართული)</v>
      </c>
      <c r="D34" s="308" t="s">
        <v>81</v>
      </c>
      <c r="E34" s="96"/>
      <c r="F34" s="308">
        <v>14.4</v>
      </c>
      <c r="G34" s="212"/>
      <c r="H34" s="294"/>
      <c r="I34" s="212"/>
      <c r="J34" s="294"/>
      <c r="K34" s="131"/>
      <c r="L34" s="138"/>
      <c r="M34" s="138"/>
      <c r="O34" s="179"/>
      <c r="P34" s="271"/>
    </row>
    <row r="35" spans="1:16" s="451" customFormat="1" ht="15.75" outlineLevel="1">
      <c r="A35" s="90"/>
      <c r="B35" s="347"/>
      <c r="C35" s="345" t="str">
        <f t="shared" si="1"/>
        <v>დონე +23.88 (+5 სართული)</v>
      </c>
      <c r="D35" s="308" t="s">
        <v>81</v>
      </c>
      <c r="E35" s="96"/>
      <c r="F35" s="308">
        <v>14.4</v>
      </c>
      <c r="G35" s="212"/>
      <c r="H35" s="294"/>
      <c r="I35" s="212"/>
      <c r="J35" s="294"/>
      <c r="K35" s="131"/>
      <c r="L35" s="138"/>
      <c r="M35" s="138"/>
      <c r="O35" s="179"/>
      <c r="P35" s="271"/>
    </row>
    <row r="36" spans="1:16" s="451" customFormat="1" ht="15.75" outlineLevel="1">
      <c r="A36" s="90"/>
      <c r="B36" s="347"/>
      <c r="C36" s="345" t="str">
        <f t="shared" si="1"/>
        <v>დონე +27.48 (+6 სართული)</v>
      </c>
      <c r="D36" s="308" t="s">
        <v>81</v>
      </c>
      <c r="E36" s="96"/>
      <c r="F36" s="308">
        <v>14.4</v>
      </c>
      <c r="G36" s="212"/>
      <c r="H36" s="294"/>
      <c r="I36" s="212"/>
      <c r="J36" s="294"/>
      <c r="K36" s="131"/>
      <c r="L36" s="138"/>
      <c r="M36" s="138"/>
      <c r="O36" s="179"/>
      <c r="P36" s="271"/>
    </row>
    <row r="37" spans="1:16" s="451" customFormat="1" ht="15.75" outlineLevel="1">
      <c r="A37" s="90"/>
      <c r="B37" s="347"/>
      <c r="C37" s="345" t="str">
        <f t="shared" si="1"/>
        <v>დონე +31.08 (+7 სართული)</v>
      </c>
      <c r="D37" s="308" t="s">
        <v>81</v>
      </c>
      <c r="E37" s="96"/>
      <c r="F37" s="308">
        <v>14.4</v>
      </c>
      <c r="G37" s="212"/>
      <c r="H37" s="294"/>
      <c r="I37" s="212"/>
      <c r="J37" s="294"/>
      <c r="K37" s="131"/>
      <c r="L37" s="138"/>
      <c r="M37" s="138"/>
      <c r="O37" s="179"/>
      <c r="P37" s="271"/>
    </row>
    <row r="38" spans="1:16" s="451" customFormat="1" ht="15.75" outlineLevel="1">
      <c r="A38" s="90"/>
      <c r="B38" s="347"/>
      <c r="C38" s="345" t="str">
        <f t="shared" si="1"/>
        <v>დონე +34.68 (+8 სართული)</v>
      </c>
      <c r="D38" s="308" t="s">
        <v>81</v>
      </c>
      <c r="E38" s="96"/>
      <c r="F38" s="308">
        <v>14.4</v>
      </c>
      <c r="G38" s="212"/>
      <c r="H38" s="294"/>
      <c r="I38" s="212"/>
      <c r="J38" s="294"/>
      <c r="K38" s="131"/>
      <c r="L38" s="138"/>
      <c r="M38" s="138"/>
      <c r="O38" s="179"/>
      <c r="P38" s="271"/>
    </row>
    <row r="39" spans="1:16" s="451" customFormat="1" ht="15.75" outlineLevel="1">
      <c r="A39" s="90"/>
      <c r="B39" s="347"/>
      <c r="C39" s="345" t="str">
        <f t="shared" si="1"/>
        <v>დონე +38.28 (+9 სართული)</v>
      </c>
      <c r="D39" s="308" t="s">
        <v>81</v>
      </c>
      <c r="E39" s="96"/>
      <c r="F39" s="308">
        <v>14.4</v>
      </c>
      <c r="G39" s="212"/>
      <c r="H39" s="294"/>
      <c r="I39" s="212"/>
      <c r="J39" s="294"/>
      <c r="K39" s="131"/>
      <c r="L39" s="138"/>
      <c r="M39" s="138"/>
      <c r="O39" s="179"/>
      <c r="P39" s="271"/>
    </row>
    <row r="40" spans="1:16" s="451" customFormat="1" ht="15.75" outlineLevel="1">
      <c r="A40" s="90"/>
      <c r="B40" s="347"/>
      <c r="C40" s="345" t="str">
        <f t="shared" si="1"/>
        <v>დონე +41.88 (+10 სართული)</v>
      </c>
      <c r="D40" s="308" t="s">
        <v>81</v>
      </c>
      <c r="E40" s="96"/>
      <c r="F40" s="308">
        <v>14.4</v>
      </c>
      <c r="G40" s="212"/>
      <c r="H40" s="294"/>
      <c r="I40" s="212"/>
      <c r="J40" s="294"/>
      <c r="K40" s="131"/>
      <c r="L40" s="138"/>
      <c r="M40" s="138"/>
      <c r="O40" s="179"/>
      <c r="P40" s="271"/>
    </row>
    <row r="41" spans="1:16" s="451" customFormat="1" ht="15.75" outlineLevel="1">
      <c r="A41" s="90"/>
      <c r="B41" s="347"/>
      <c r="C41" s="345" t="str">
        <f t="shared" si="1"/>
        <v>დონე +45.48 (+11 სართული)</v>
      </c>
      <c r="D41" s="308" t="s">
        <v>81</v>
      </c>
      <c r="E41" s="96"/>
      <c r="F41" s="308">
        <v>14.4</v>
      </c>
      <c r="G41" s="212"/>
      <c r="H41" s="294"/>
      <c r="I41" s="212"/>
      <c r="J41" s="294"/>
      <c r="K41" s="131"/>
      <c r="L41" s="138"/>
      <c r="M41" s="138"/>
      <c r="O41" s="179"/>
      <c r="P41" s="271"/>
    </row>
    <row r="42" spans="1:16" s="451" customFormat="1" ht="15.75" outlineLevel="1">
      <c r="A42" s="90"/>
      <c r="B42" s="347"/>
      <c r="C42" s="345" t="str">
        <f t="shared" si="1"/>
        <v>დონე +49.08 (+12 სართული)</v>
      </c>
      <c r="D42" s="308" t="s">
        <v>81</v>
      </c>
      <c r="E42" s="96"/>
      <c r="F42" s="308">
        <v>14.4</v>
      </c>
      <c r="G42" s="212"/>
      <c r="H42" s="294"/>
      <c r="I42" s="212"/>
      <c r="J42" s="294"/>
      <c r="K42" s="131"/>
      <c r="L42" s="138"/>
      <c r="M42" s="138"/>
      <c r="O42" s="179"/>
      <c r="P42" s="271"/>
    </row>
    <row r="43" spans="1:16" s="451" customFormat="1" ht="15.75" outlineLevel="1">
      <c r="A43" s="90"/>
      <c r="B43" s="347"/>
      <c r="C43" s="345" t="str">
        <f t="shared" si="1"/>
        <v>დონე +52.68 (+13 სართული)</v>
      </c>
      <c r="D43" s="308" t="s">
        <v>81</v>
      </c>
      <c r="E43" s="96"/>
      <c r="F43" s="308">
        <v>14.4</v>
      </c>
      <c r="G43" s="212"/>
      <c r="H43" s="294"/>
      <c r="I43" s="212"/>
      <c r="J43" s="294"/>
      <c r="K43" s="131"/>
      <c r="L43" s="138"/>
      <c r="M43" s="138"/>
      <c r="O43" s="179"/>
      <c r="P43" s="271"/>
    </row>
    <row r="44" spans="1:16" s="451" customFormat="1" ht="15.75" outlineLevel="1">
      <c r="A44" s="90"/>
      <c r="B44" s="347"/>
      <c r="C44" s="345" t="str">
        <f t="shared" si="1"/>
        <v>დონე +56.28 (+14 სართული)</v>
      </c>
      <c r="D44" s="308" t="s">
        <v>81</v>
      </c>
      <c r="E44" s="96"/>
      <c r="F44" s="308">
        <v>14.4</v>
      </c>
      <c r="G44" s="212"/>
      <c r="H44" s="294"/>
      <c r="I44" s="212"/>
      <c r="J44" s="294"/>
      <c r="K44" s="131"/>
      <c r="L44" s="138"/>
      <c r="M44" s="138"/>
      <c r="O44" s="179"/>
      <c r="P44" s="271"/>
    </row>
    <row r="45" spans="1:16" s="451" customFormat="1" ht="15.75" outlineLevel="1">
      <c r="A45" s="90"/>
      <c r="B45" s="347"/>
      <c r="C45" s="345" t="str">
        <f t="shared" si="1"/>
        <v>დონე +59.88 (+15 სართული)</v>
      </c>
      <c r="D45" s="308" t="s">
        <v>81</v>
      </c>
      <c r="E45" s="96"/>
      <c r="F45" s="308">
        <v>14.4</v>
      </c>
      <c r="G45" s="212"/>
      <c r="H45" s="294"/>
      <c r="I45" s="212"/>
      <c r="J45" s="294"/>
      <c r="K45" s="131"/>
      <c r="L45" s="138"/>
      <c r="M45" s="138"/>
      <c r="O45" s="179"/>
      <c r="P45" s="271"/>
    </row>
    <row r="46" spans="1:16" s="451" customFormat="1" ht="15.75" outlineLevel="1">
      <c r="A46" s="90"/>
      <c r="B46" s="347"/>
      <c r="C46" s="345" t="str">
        <f t="shared" si="1"/>
        <v>დონე +63.48 (+16 სართული)</v>
      </c>
      <c r="D46" s="308" t="s">
        <v>81</v>
      </c>
      <c r="E46" s="96"/>
      <c r="F46" s="308">
        <v>14.4</v>
      </c>
      <c r="G46" s="212"/>
      <c r="H46" s="294"/>
      <c r="I46" s="212"/>
      <c r="J46" s="294"/>
      <c r="K46" s="131"/>
      <c r="L46" s="138"/>
      <c r="M46" s="138"/>
      <c r="O46" s="179"/>
      <c r="P46" s="271"/>
    </row>
    <row r="47" spans="1:16" s="451" customFormat="1" ht="15.75" outlineLevel="1">
      <c r="A47" s="90"/>
      <c r="B47" s="347"/>
      <c r="C47" s="345" t="str">
        <f t="shared" si="1"/>
        <v>დონე +67.08 (+17 სართული)</v>
      </c>
      <c r="D47" s="308" t="s">
        <v>81</v>
      </c>
      <c r="E47" s="96"/>
      <c r="F47" s="308">
        <v>14.4</v>
      </c>
      <c r="G47" s="212"/>
      <c r="H47" s="294"/>
      <c r="I47" s="212"/>
      <c r="J47" s="294"/>
      <c r="K47" s="131"/>
      <c r="L47" s="138"/>
      <c r="M47" s="138"/>
      <c r="O47" s="179"/>
      <c r="P47" s="271"/>
    </row>
    <row r="48" spans="1:16" s="451" customFormat="1" ht="15.75" outlineLevel="1">
      <c r="A48" s="90"/>
      <c r="B48" s="347"/>
      <c r="C48" s="345" t="str">
        <f t="shared" si="1"/>
        <v>დონე +70.68 (+18 სართული)</v>
      </c>
      <c r="D48" s="308" t="s">
        <v>81</v>
      </c>
      <c r="E48" s="96"/>
      <c r="F48" s="308"/>
      <c r="G48" s="212"/>
      <c r="H48" s="294"/>
      <c r="I48" s="212"/>
      <c r="J48" s="294"/>
      <c r="K48" s="131"/>
      <c r="L48" s="138"/>
      <c r="M48" s="138"/>
      <c r="O48" s="179"/>
      <c r="P48" s="271"/>
    </row>
    <row r="49" spans="1:16" s="451" customFormat="1" ht="15.75" outlineLevel="1">
      <c r="A49" s="222"/>
      <c r="B49" s="390"/>
      <c r="C49" s="372" t="s">
        <v>96</v>
      </c>
      <c r="D49" s="305" t="s">
        <v>75</v>
      </c>
      <c r="E49" s="539">
        <f>0.03*1.03</f>
        <v>0.0309</v>
      </c>
      <c r="F49" s="368">
        <f>E49*F32</f>
        <v>6.674400000000002</v>
      </c>
      <c r="G49" s="315">
        <f>O49/$K$4</f>
        <v>0</v>
      </c>
      <c r="H49" s="312">
        <f>G49*F49</f>
        <v>0</v>
      </c>
      <c r="I49" s="373"/>
      <c r="J49" s="312"/>
      <c r="K49" s="131">
        <f>J49+H49</f>
        <v>0</v>
      </c>
      <c r="L49" s="138"/>
      <c r="M49" s="138"/>
      <c r="O49" s="179"/>
      <c r="P49" s="114"/>
    </row>
    <row r="50" spans="1:16" ht="15.75">
      <c r="A50" s="91"/>
      <c r="B50" s="414"/>
      <c r="C50" s="219" t="s">
        <v>88</v>
      </c>
      <c r="D50" s="260" t="s">
        <v>81</v>
      </c>
      <c r="E50" s="369">
        <v>1.1</v>
      </c>
      <c r="F50" s="301">
        <f>E50*F32</f>
        <v>237.60000000000008</v>
      </c>
      <c r="G50" s="315">
        <f>O50/$K$4</f>
        <v>0</v>
      </c>
      <c r="H50" s="312">
        <f>G50*F50</f>
        <v>0</v>
      </c>
      <c r="I50" s="315"/>
      <c r="J50" s="301"/>
      <c r="K50" s="131">
        <f>H50+J50</f>
        <v>0</v>
      </c>
      <c r="L50" s="139"/>
      <c r="M50" s="139"/>
      <c r="O50" s="176"/>
      <c r="P50" s="176"/>
    </row>
    <row r="51" spans="1:16" ht="15.75">
      <c r="A51" s="91"/>
      <c r="B51" s="414"/>
      <c r="C51" s="372" t="s">
        <v>98</v>
      </c>
      <c r="D51" s="305" t="s">
        <v>81</v>
      </c>
      <c r="E51" s="369">
        <v>1.1</v>
      </c>
      <c r="F51" s="301">
        <f>E51*F32</f>
        <v>237.60000000000008</v>
      </c>
      <c r="G51" s="315">
        <f>O51/$K$4</f>
        <v>0</v>
      </c>
      <c r="H51" s="312">
        <f>G51*F51</f>
        <v>0</v>
      </c>
      <c r="I51" s="315"/>
      <c r="J51" s="301"/>
      <c r="K51" s="131">
        <f>H51+J51</f>
        <v>0</v>
      </c>
      <c r="L51" s="139"/>
      <c r="M51" s="139"/>
      <c r="O51" s="176"/>
      <c r="P51" s="176"/>
    </row>
    <row r="52" spans="1:16" ht="10.8" thickBot="1">
      <c r="A52" s="91"/>
      <c r="B52" s="414"/>
      <c r="C52" s="219" t="s">
        <v>97</v>
      </c>
      <c r="D52" s="260" t="s">
        <v>75</v>
      </c>
      <c r="E52" s="369">
        <f>0.04*1.02</f>
        <v>0.0408</v>
      </c>
      <c r="F52" s="302">
        <f>E52*F32</f>
        <v>8.812800000000003</v>
      </c>
      <c r="G52" s="374">
        <f>O52/$K$4</f>
        <v>0</v>
      </c>
      <c r="H52" s="302">
        <f>F52*G52</f>
        <v>0</v>
      </c>
      <c r="I52" s="374"/>
      <c r="J52" s="302"/>
      <c r="K52" s="255">
        <f>H52+J52</f>
        <v>0</v>
      </c>
      <c r="L52" s="139"/>
      <c r="M52" s="139"/>
      <c r="O52" s="176"/>
      <c r="P52" s="180"/>
    </row>
    <row r="53" spans="1:16" s="451" customFormat="1" ht="15.75">
      <c r="A53" s="617">
        <v>3</v>
      </c>
      <c r="B53" s="324"/>
      <c r="C53" s="352" t="s">
        <v>104</v>
      </c>
      <c r="D53" s="306" t="s">
        <v>81</v>
      </c>
      <c r="E53" s="50"/>
      <c r="F53" s="300">
        <f>208+43</f>
        <v>251</v>
      </c>
      <c r="G53" s="95"/>
      <c r="H53" s="88"/>
      <c r="I53" s="343">
        <f>P53/$K$4</f>
        <v>0</v>
      </c>
      <c r="J53" s="300">
        <f>F53*I53</f>
        <v>0</v>
      </c>
      <c r="K53" s="130">
        <f>H53+J53</f>
        <v>0</v>
      </c>
      <c r="L53" s="137">
        <f>SUM(K53:K57)</f>
        <v>0</v>
      </c>
      <c r="M53" s="137">
        <f>L53/F53</f>
        <v>0</v>
      </c>
      <c r="O53" s="170"/>
      <c r="P53" s="272"/>
    </row>
    <row r="54" spans="1:16" s="451" customFormat="1" ht="15.75" outlineLevel="1">
      <c r="A54" s="618"/>
      <c r="B54" s="93"/>
      <c r="C54" s="219" t="s">
        <v>103</v>
      </c>
      <c r="D54" s="260" t="s">
        <v>75</v>
      </c>
      <c r="E54" s="369">
        <f>0.05*1.02</f>
        <v>0.051000000000000004</v>
      </c>
      <c r="F54" s="368">
        <f>E54*F53</f>
        <v>12.801</v>
      </c>
      <c r="G54" s="315">
        <f>O54/$K$4</f>
        <v>0</v>
      </c>
      <c r="H54" s="312">
        <f>G54*F54</f>
        <v>0</v>
      </c>
      <c r="I54" s="373"/>
      <c r="J54" s="312"/>
      <c r="K54" s="131">
        <f>J54+H54</f>
        <v>0</v>
      </c>
      <c r="L54" s="138"/>
      <c r="M54" s="138"/>
      <c r="O54" s="179"/>
      <c r="P54" s="373"/>
    </row>
    <row r="55" spans="1:16" ht="15.75">
      <c r="A55" s="619"/>
      <c r="B55" s="94"/>
      <c r="C55" s="372" t="s">
        <v>101</v>
      </c>
      <c r="D55" s="305" t="s">
        <v>81</v>
      </c>
      <c r="E55" s="369">
        <v>1.05</v>
      </c>
      <c r="F55" s="301">
        <f>E55*F53</f>
        <v>263.55</v>
      </c>
      <c r="G55" s="315">
        <f aca="true" t="shared" si="2" ref="G55:G57">O55/$K$4</f>
        <v>0</v>
      </c>
      <c r="H55" s="301">
        <f>F55*G55</f>
        <v>0</v>
      </c>
      <c r="I55" s="315"/>
      <c r="J55" s="301"/>
      <c r="K55" s="131">
        <f>H55+J55</f>
        <v>0</v>
      </c>
      <c r="L55" s="139"/>
      <c r="M55" s="139"/>
      <c r="O55" s="179"/>
      <c r="P55" s="269"/>
    </row>
    <row r="56" spans="1:16" ht="15.75">
      <c r="A56" s="619"/>
      <c r="B56" s="94"/>
      <c r="C56" s="372" t="s">
        <v>100</v>
      </c>
      <c r="D56" s="305" t="s">
        <v>81</v>
      </c>
      <c r="E56" s="369">
        <v>2.2</v>
      </c>
      <c r="F56" s="301">
        <f>E56*F53</f>
        <v>552.2</v>
      </c>
      <c r="G56" s="315">
        <f t="shared" si="2"/>
        <v>0</v>
      </c>
      <c r="H56" s="301">
        <f>F56*G56</f>
        <v>0</v>
      </c>
      <c r="I56" s="315"/>
      <c r="J56" s="301"/>
      <c r="K56" s="131">
        <f>H56+J56</f>
        <v>0</v>
      </c>
      <c r="L56" s="139"/>
      <c r="M56" s="139"/>
      <c r="O56" s="179"/>
      <c r="P56" s="269"/>
    </row>
    <row r="57" spans="1:16" ht="10.8" thickBot="1">
      <c r="A57" s="619"/>
      <c r="B57" s="94"/>
      <c r="C57" s="219" t="s">
        <v>102</v>
      </c>
      <c r="D57" s="260" t="s">
        <v>75</v>
      </c>
      <c r="E57" s="369">
        <f>0.07*1.02</f>
        <v>0.0714</v>
      </c>
      <c r="F57" s="368">
        <f>E57*F53</f>
        <v>17.921400000000002</v>
      </c>
      <c r="G57" s="315">
        <f t="shared" si="2"/>
        <v>0</v>
      </c>
      <c r="H57" s="312">
        <f>G57*F57</f>
        <v>0</v>
      </c>
      <c r="I57" s="315"/>
      <c r="J57" s="301"/>
      <c r="K57" s="131">
        <f>J57+H57</f>
        <v>0</v>
      </c>
      <c r="L57" s="139"/>
      <c r="M57" s="139"/>
      <c r="O57" s="604"/>
      <c r="P57" s="269"/>
    </row>
    <row r="58" spans="1:16" ht="10.8" thickBot="1">
      <c r="A58" s="51"/>
      <c r="B58" s="371"/>
      <c r="C58" s="288"/>
      <c r="D58" s="286"/>
      <c r="E58" s="288"/>
      <c r="F58" s="54"/>
      <c r="G58" s="365"/>
      <c r="H58" s="54"/>
      <c r="I58" s="365"/>
      <c r="J58" s="54"/>
      <c r="K58" s="129"/>
      <c r="L58" s="129"/>
      <c r="M58" s="129"/>
      <c r="O58" s="177"/>
      <c r="P58" s="112"/>
    </row>
    <row r="59" spans="1:16" ht="24" thickBot="1">
      <c r="A59" s="827" t="s">
        <v>35</v>
      </c>
      <c r="B59" s="828"/>
      <c r="C59" s="828"/>
      <c r="D59" s="828"/>
      <c r="E59" s="828"/>
      <c r="F59" s="828"/>
      <c r="G59" s="828"/>
      <c r="H59" s="828"/>
      <c r="I59" s="828"/>
      <c r="J59" s="828"/>
      <c r="K59" s="828"/>
      <c r="L59" s="828"/>
      <c r="M59" s="829"/>
      <c r="P59" s="6"/>
    </row>
    <row r="60" spans="1:16" s="451" customFormat="1" ht="15.75">
      <c r="A60" s="445">
        <v>4</v>
      </c>
      <c r="B60" s="346"/>
      <c r="C60" s="352" t="s">
        <v>86</v>
      </c>
      <c r="D60" s="49" t="s">
        <v>17</v>
      </c>
      <c r="E60" s="303"/>
      <c r="F60" s="300">
        <f>SUM(F61:F76)</f>
        <v>945</v>
      </c>
      <c r="G60" s="343"/>
      <c r="H60" s="300"/>
      <c r="I60" s="343">
        <f>P60/$K$4</f>
        <v>0</v>
      </c>
      <c r="J60" s="300">
        <f>F60*I60</f>
        <v>0</v>
      </c>
      <c r="K60" s="130">
        <f>H60+J60</f>
        <v>0</v>
      </c>
      <c r="L60" s="137">
        <f>SUM(K60:K82)</f>
        <v>0</v>
      </c>
      <c r="M60" s="137">
        <f>L60/F60</f>
        <v>0</v>
      </c>
      <c r="O60" s="170"/>
      <c r="P60" s="272"/>
    </row>
    <row r="61" spans="1:16" s="451" customFormat="1" ht="15.75" outlineLevel="1">
      <c r="A61" s="90"/>
      <c r="B61" s="347"/>
      <c r="C61" s="345" t="str">
        <f>C33</f>
        <v>დონე +14.98 (+3 სართული)</v>
      </c>
      <c r="D61" s="308" t="s">
        <v>17</v>
      </c>
      <c r="E61" s="96"/>
      <c r="F61" s="308">
        <f>15*4.2</f>
        <v>63</v>
      </c>
      <c r="G61" s="212"/>
      <c r="H61" s="294"/>
      <c r="I61" s="212"/>
      <c r="J61" s="294"/>
      <c r="K61" s="131"/>
      <c r="L61" s="138"/>
      <c r="M61" s="138"/>
      <c r="O61" s="179"/>
      <c r="P61" s="271"/>
    </row>
    <row r="62" spans="1:16" s="451" customFormat="1" ht="15.75" outlineLevel="1">
      <c r="A62" s="90"/>
      <c r="B62" s="347"/>
      <c r="C62" s="345" t="str">
        <f aca="true" t="shared" si="3" ref="C62:C76">C34</f>
        <v>დონე +20.28 (+4 სართული)</v>
      </c>
      <c r="D62" s="308" t="s">
        <v>17</v>
      </c>
      <c r="E62" s="96"/>
      <c r="F62" s="308">
        <f aca="true" t="shared" si="4" ref="F62:F75">15*4.2</f>
        <v>63</v>
      </c>
      <c r="G62" s="212"/>
      <c r="H62" s="294"/>
      <c r="I62" s="212"/>
      <c r="J62" s="294"/>
      <c r="K62" s="131"/>
      <c r="L62" s="138"/>
      <c r="M62" s="138"/>
      <c r="O62" s="179"/>
      <c r="P62" s="271"/>
    </row>
    <row r="63" spans="1:16" s="451" customFormat="1" ht="15.75" outlineLevel="1">
      <c r="A63" s="90"/>
      <c r="B63" s="347"/>
      <c r="C63" s="345" t="str">
        <f t="shared" si="3"/>
        <v>დონე +23.88 (+5 სართული)</v>
      </c>
      <c r="D63" s="308" t="s">
        <v>17</v>
      </c>
      <c r="E63" s="96"/>
      <c r="F63" s="308">
        <f t="shared" si="4"/>
        <v>63</v>
      </c>
      <c r="G63" s="212"/>
      <c r="H63" s="294"/>
      <c r="I63" s="212"/>
      <c r="J63" s="294"/>
      <c r="K63" s="131"/>
      <c r="L63" s="138"/>
      <c r="M63" s="138"/>
      <c r="O63" s="179"/>
      <c r="P63" s="271"/>
    </row>
    <row r="64" spans="1:16" s="451" customFormat="1" ht="15.75" outlineLevel="1">
      <c r="A64" s="90"/>
      <c r="B64" s="347"/>
      <c r="C64" s="345" t="str">
        <f t="shared" si="3"/>
        <v>დონე +27.48 (+6 სართული)</v>
      </c>
      <c r="D64" s="308" t="s">
        <v>17</v>
      </c>
      <c r="E64" s="96"/>
      <c r="F64" s="308">
        <f t="shared" si="4"/>
        <v>63</v>
      </c>
      <c r="G64" s="212"/>
      <c r="H64" s="294"/>
      <c r="I64" s="212"/>
      <c r="J64" s="294"/>
      <c r="K64" s="131"/>
      <c r="L64" s="138"/>
      <c r="M64" s="138"/>
      <c r="O64" s="179"/>
      <c r="P64" s="271"/>
    </row>
    <row r="65" spans="1:16" s="451" customFormat="1" ht="15.75" outlineLevel="1">
      <c r="A65" s="90"/>
      <c r="B65" s="347"/>
      <c r="C65" s="345" t="str">
        <f t="shared" si="3"/>
        <v>დონე +31.08 (+7 სართული)</v>
      </c>
      <c r="D65" s="308" t="s">
        <v>17</v>
      </c>
      <c r="E65" s="96"/>
      <c r="F65" s="308">
        <f t="shared" si="4"/>
        <v>63</v>
      </c>
      <c r="G65" s="212"/>
      <c r="H65" s="294"/>
      <c r="I65" s="212"/>
      <c r="J65" s="294"/>
      <c r="K65" s="131"/>
      <c r="L65" s="138"/>
      <c r="M65" s="138"/>
      <c r="O65" s="179"/>
      <c r="P65" s="271"/>
    </row>
    <row r="66" spans="1:16" s="451" customFormat="1" ht="15.75" outlineLevel="1">
      <c r="A66" s="90"/>
      <c r="B66" s="347"/>
      <c r="C66" s="345" t="str">
        <f t="shared" si="3"/>
        <v>დონე +34.68 (+8 სართული)</v>
      </c>
      <c r="D66" s="308" t="s">
        <v>17</v>
      </c>
      <c r="E66" s="96"/>
      <c r="F66" s="308">
        <f t="shared" si="4"/>
        <v>63</v>
      </c>
      <c r="G66" s="212"/>
      <c r="H66" s="294"/>
      <c r="I66" s="212"/>
      <c r="J66" s="294"/>
      <c r="K66" s="131"/>
      <c r="L66" s="138"/>
      <c r="M66" s="138"/>
      <c r="O66" s="179"/>
      <c r="P66" s="271"/>
    </row>
    <row r="67" spans="1:16" s="451" customFormat="1" ht="15.75" outlineLevel="1">
      <c r="A67" s="90"/>
      <c r="B67" s="347"/>
      <c r="C67" s="345" t="str">
        <f t="shared" si="3"/>
        <v>დონე +38.28 (+9 სართული)</v>
      </c>
      <c r="D67" s="308" t="s">
        <v>17</v>
      </c>
      <c r="E67" s="96"/>
      <c r="F67" s="308">
        <f t="shared" si="4"/>
        <v>63</v>
      </c>
      <c r="G67" s="212"/>
      <c r="H67" s="294"/>
      <c r="I67" s="212"/>
      <c r="J67" s="294"/>
      <c r="K67" s="131"/>
      <c r="L67" s="138"/>
      <c r="M67" s="138"/>
      <c r="O67" s="179"/>
      <c r="P67" s="271"/>
    </row>
    <row r="68" spans="1:16" s="451" customFormat="1" ht="15.75" outlineLevel="1">
      <c r="A68" s="90"/>
      <c r="B68" s="347"/>
      <c r="C68" s="345" t="str">
        <f t="shared" si="3"/>
        <v>დონე +41.88 (+10 სართული)</v>
      </c>
      <c r="D68" s="308" t="s">
        <v>17</v>
      </c>
      <c r="E68" s="96"/>
      <c r="F68" s="308">
        <f t="shared" si="4"/>
        <v>63</v>
      </c>
      <c r="G68" s="212"/>
      <c r="H68" s="294"/>
      <c r="I68" s="212"/>
      <c r="J68" s="294"/>
      <c r="K68" s="131"/>
      <c r="L68" s="138"/>
      <c r="M68" s="138"/>
      <c r="O68" s="179"/>
      <c r="P68" s="271"/>
    </row>
    <row r="69" spans="1:16" s="451" customFormat="1" ht="15.75" outlineLevel="1">
      <c r="A69" s="90"/>
      <c r="B69" s="347"/>
      <c r="C69" s="345" t="str">
        <f t="shared" si="3"/>
        <v>დონე +45.48 (+11 სართული)</v>
      </c>
      <c r="D69" s="308" t="s">
        <v>17</v>
      </c>
      <c r="E69" s="96"/>
      <c r="F69" s="308">
        <f t="shared" si="4"/>
        <v>63</v>
      </c>
      <c r="G69" s="212"/>
      <c r="H69" s="294"/>
      <c r="I69" s="212"/>
      <c r="J69" s="294"/>
      <c r="K69" s="131"/>
      <c r="L69" s="138"/>
      <c r="M69" s="138"/>
      <c r="O69" s="179"/>
      <c r="P69" s="271"/>
    </row>
    <row r="70" spans="1:16" s="451" customFormat="1" ht="15.75" outlineLevel="1">
      <c r="A70" s="90"/>
      <c r="B70" s="347"/>
      <c r="C70" s="345" t="str">
        <f t="shared" si="3"/>
        <v>დონე +49.08 (+12 სართული)</v>
      </c>
      <c r="D70" s="308" t="s">
        <v>17</v>
      </c>
      <c r="E70" s="96"/>
      <c r="F70" s="308">
        <f t="shared" si="4"/>
        <v>63</v>
      </c>
      <c r="G70" s="212"/>
      <c r="H70" s="294"/>
      <c r="I70" s="212"/>
      <c r="J70" s="294"/>
      <c r="K70" s="131"/>
      <c r="L70" s="138"/>
      <c r="M70" s="138"/>
      <c r="O70" s="179"/>
      <c r="P70" s="271"/>
    </row>
    <row r="71" spans="1:16" s="451" customFormat="1" ht="15.75" outlineLevel="1">
      <c r="A71" s="90"/>
      <c r="B71" s="347"/>
      <c r="C71" s="345" t="str">
        <f t="shared" si="3"/>
        <v>დონე +52.68 (+13 სართული)</v>
      </c>
      <c r="D71" s="308" t="s">
        <v>17</v>
      </c>
      <c r="E71" s="96"/>
      <c r="F71" s="308">
        <f t="shared" si="4"/>
        <v>63</v>
      </c>
      <c r="G71" s="212"/>
      <c r="H71" s="294"/>
      <c r="I71" s="212"/>
      <c r="J71" s="294"/>
      <c r="K71" s="131"/>
      <c r="L71" s="138"/>
      <c r="M71" s="138"/>
      <c r="O71" s="179"/>
      <c r="P71" s="271"/>
    </row>
    <row r="72" spans="1:16" s="451" customFormat="1" ht="15.75" outlineLevel="1">
      <c r="A72" s="90"/>
      <c r="B72" s="347"/>
      <c r="C72" s="345" t="str">
        <f t="shared" si="3"/>
        <v>დონე +56.28 (+14 სართული)</v>
      </c>
      <c r="D72" s="308" t="s">
        <v>17</v>
      </c>
      <c r="E72" s="96"/>
      <c r="F72" s="308">
        <f t="shared" si="4"/>
        <v>63</v>
      </c>
      <c r="G72" s="212"/>
      <c r="H72" s="294"/>
      <c r="I72" s="212"/>
      <c r="J72" s="294"/>
      <c r="K72" s="131"/>
      <c r="L72" s="138"/>
      <c r="M72" s="138"/>
      <c r="O72" s="179"/>
      <c r="P72" s="271"/>
    </row>
    <row r="73" spans="1:16" s="451" customFormat="1" ht="15.75" outlineLevel="1">
      <c r="A73" s="90"/>
      <c r="B73" s="347"/>
      <c r="C73" s="345" t="str">
        <f t="shared" si="3"/>
        <v>დონე +59.88 (+15 სართული)</v>
      </c>
      <c r="D73" s="308" t="s">
        <v>17</v>
      </c>
      <c r="E73" s="96"/>
      <c r="F73" s="308">
        <f t="shared" si="4"/>
        <v>63</v>
      </c>
      <c r="G73" s="212"/>
      <c r="H73" s="294"/>
      <c r="I73" s="212"/>
      <c r="J73" s="294"/>
      <c r="K73" s="131"/>
      <c r="L73" s="138"/>
      <c r="M73" s="138"/>
      <c r="O73" s="179"/>
      <c r="P73" s="271"/>
    </row>
    <row r="74" spans="1:16" s="451" customFormat="1" ht="15.75" outlineLevel="1">
      <c r="A74" s="90"/>
      <c r="B74" s="347"/>
      <c r="C74" s="345" t="str">
        <f t="shared" si="3"/>
        <v>დონე +63.48 (+16 სართული)</v>
      </c>
      <c r="D74" s="308" t="s">
        <v>17</v>
      </c>
      <c r="E74" s="96"/>
      <c r="F74" s="308">
        <f t="shared" si="4"/>
        <v>63</v>
      </c>
      <c r="G74" s="212"/>
      <c r="H74" s="294"/>
      <c r="I74" s="212"/>
      <c r="J74" s="294"/>
      <c r="K74" s="131"/>
      <c r="L74" s="138"/>
      <c r="M74" s="138"/>
      <c r="O74" s="179"/>
      <c r="P74" s="271"/>
    </row>
    <row r="75" spans="1:16" s="451" customFormat="1" ht="15.75" outlineLevel="1">
      <c r="A75" s="90"/>
      <c r="B75" s="347"/>
      <c r="C75" s="345" t="str">
        <f t="shared" si="3"/>
        <v>დონე +67.08 (+17 სართული)</v>
      </c>
      <c r="D75" s="308" t="s">
        <v>17</v>
      </c>
      <c r="E75" s="96"/>
      <c r="F75" s="308">
        <f t="shared" si="4"/>
        <v>63</v>
      </c>
      <c r="G75" s="212"/>
      <c r="H75" s="294"/>
      <c r="I75" s="212"/>
      <c r="J75" s="294"/>
      <c r="K75" s="131"/>
      <c r="L75" s="138"/>
      <c r="M75" s="138"/>
      <c r="O75" s="179"/>
      <c r="P75" s="271"/>
    </row>
    <row r="76" spans="1:16" s="451" customFormat="1" ht="15.75" outlineLevel="1">
      <c r="A76" s="90"/>
      <c r="B76" s="347"/>
      <c r="C76" s="345" t="str">
        <f t="shared" si="3"/>
        <v>დონე +70.68 (+18 სართული)</v>
      </c>
      <c r="D76" s="308" t="s">
        <v>17</v>
      </c>
      <c r="E76" s="96"/>
      <c r="F76" s="308"/>
      <c r="G76" s="212"/>
      <c r="H76" s="294"/>
      <c r="I76" s="212"/>
      <c r="J76" s="294"/>
      <c r="K76" s="131"/>
      <c r="L76" s="138"/>
      <c r="M76" s="138"/>
      <c r="O76" s="179"/>
      <c r="P76" s="271"/>
    </row>
    <row r="77" spans="1:16" ht="15.75">
      <c r="A77" s="91"/>
      <c r="B77" s="414"/>
      <c r="C77" s="219" t="s">
        <v>72</v>
      </c>
      <c r="D77" s="502" t="s">
        <v>73</v>
      </c>
      <c r="E77" s="571">
        <v>12.5</v>
      </c>
      <c r="F77" s="326">
        <f>$F$60*E77</f>
        <v>11812.5</v>
      </c>
      <c r="G77" s="342">
        <f aca="true" t="shared" si="5" ref="G77:G81">O77/$K$4</f>
        <v>0</v>
      </c>
      <c r="H77" s="326">
        <f aca="true" t="shared" si="6" ref="H77:H82">F77*G77</f>
        <v>0</v>
      </c>
      <c r="I77" s="342"/>
      <c r="J77" s="326">
        <f aca="true" t="shared" si="7" ref="J77:J82">F77*I77</f>
        <v>0</v>
      </c>
      <c r="K77" s="258">
        <f aca="true" t="shared" si="8" ref="K77:K82">H77+J77</f>
        <v>0</v>
      </c>
      <c r="L77" s="139"/>
      <c r="M77" s="139"/>
      <c r="O77" s="259"/>
      <c r="P77" s="263"/>
    </row>
    <row r="78" spans="1:16" ht="15.75">
      <c r="A78" s="91"/>
      <c r="B78" s="414"/>
      <c r="C78" s="219" t="s">
        <v>74</v>
      </c>
      <c r="D78" s="328" t="s">
        <v>75</v>
      </c>
      <c r="E78" s="544">
        <v>0.01</v>
      </c>
      <c r="F78" s="326">
        <f aca="true" t="shared" si="9" ref="F78:F82">$F$60*E78</f>
        <v>9.450000000000001</v>
      </c>
      <c r="G78" s="342">
        <f t="shared" si="5"/>
        <v>0</v>
      </c>
      <c r="H78" s="326">
        <f t="shared" si="6"/>
        <v>0</v>
      </c>
      <c r="I78" s="342"/>
      <c r="J78" s="326">
        <f t="shared" si="7"/>
        <v>0</v>
      </c>
      <c r="K78" s="258">
        <f t="shared" si="8"/>
        <v>0</v>
      </c>
      <c r="L78" s="139"/>
      <c r="M78" s="139"/>
      <c r="O78" s="259"/>
      <c r="P78" s="263"/>
    </row>
    <row r="79" spans="1:16" ht="15.75">
      <c r="A79" s="91"/>
      <c r="B79" s="414"/>
      <c r="C79" s="219" t="s">
        <v>76</v>
      </c>
      <c r="D79" s="502" t="s">
        <v>77</v>
      </c>
      <c r="E79" s="369">
        <v>0.0033</v>
      </c>
      <c r="F79" s="326">
        <f t="shared" si="9"/>
        <v>3.1185</v>
      </c>
      <c r="G79" s="342">
        <f t="shared" si="5"/>
        <v>0</v>
      </c>
      <c r="H79" s="326">
        <f t="shared" si="6"/>
        <v>0</v>
      </c>
      <c r="I79" s="342"/>
      <c r="J79" s="326">
        <f t="shared" si="7"/>
        <v>0</v>
      </c>
      <c r="K79" s="258">
        <f t="shared" si="8"/>
        <v>0</v>
      </c>
      <c r="L79" s="139"/>
      <c r="M79" s="139"/>
      <c r="O79" s="259"/>
      <c r="P79" s="263"/>
    </row>
    <row r="80" spans="1:16" ht="15.75">
      <c r="A80" s="405"/>
      <c r="B80" s="597"/>
      <c r="C80" s="219" t="s">
        <v>78</v>
      </c>
      <c r="D80" s="502" t="s">
        <v>77</v>
      </c>
      <c r="E80" s="594">
        <v>0.003</v>
      </c>
      <c r="F80" s="326">
        <f t="shared" si="9"/>
        <v>2.835</v>
      </c>
      <c r="G80" s="342">
        <f t="shared" si="5"/>
        <v>0</v>
      </c>
      <c r="H80" s="599">
        <f t="shared" si="6"/>
        <v>0</v>
      </c>
      <c r="I80" s="601"/>
      <c r="J80" s="599">
        <f t="shared" si="7"/>
        <v>0</v>
      </c>
      <c r="K80" s="258">
        <f t="shared" si="8"/>
        <v>0</v>
      </c>
      <c r="L80" s="139"/>
      <c r="M80" s="139"/>
      <c r="O80" s="591"/>
      <c r="P80" s="603"/>
    </row>
    <row r="81" spans="1:16" ht="15.75">
      <c r="A81" s="91"/>
      <c r="B81" s="414"/>
      <c r="C81" s="219" t="s">
        <v>79</v>
      </c>
      <c r="D81" s="502" t="s">
        <v>77</v>
      </c>
      <c r="E81" s="544">
        <v>0.007</v>
      </c>
      <c r="F81" s="326">
        <f t="shared" si="9"/>
        <v>6.615</v>
      </c>
      <c r="G81" s="342">
        <f t="shared" si="5"/>
        <v>0</v>
      </c>
      <c r="H81" s="326">
        <f t="shared" si="6"/>
        <v>0</v>
      </c>
      <c r="I81" s="342"/>
      <c r="J81" s="326">
        <f t="shared" si="7"/>
        <v>0</v>
      </c>
      <c r="K81" s="557">
        <f t="shared" si="8"/>
        <v>0</v>
      </c>
      <c r="L81" s="139"/>
      <c r="M81" s="139"/>
      <c r="O81" s="259"/>
      <c r="P81" s="263"/>
    </row>
    <row r="82" spans="1:16" ht="10.8" thickBot="1">
      <c r="A82" s="598"/>
      <c r="B82" s="86"/>
      <c r="C82" s="592" t="s">
        <v>80</v>
      </c>
      <c r="D82" s="328" t="s">
        <v>81</v>
      </c>
      <c r="E82" s="595">
        <v>0.03</v>
      </c>
      <c r="F82" s="326">
        <f t="shared" si="9"/>
        <v>28.349999999999998</v>
      </c>
      <c r="G82" s="342">
        <f>O82/$K$4</f>
        <v>0</v>
      </c>
      <c r="H82" s="326">
        <f t="shared" si="6"/>
        <v>0</v>
      </c>
      <c r="I82" s="602"/>
      <c r="J82" s="326">
        <f t="shared" si="7"/>
        <v>0</v>
      </c>
      <c r="K82" s="557">
        <f t="shared" si="8"/>
        <v>0</v>
      </c>
      <c r="L82" s="140"/>
      <c r="M82" s="140"/>
      <c r="O82" s="593"/>
      <c r="P82" s="442"/>
    </row>
    <row r="83" spans="1:16" s="451" customFormat="1" ht="15.75">
      <c r="A83" s="445">
        <v>8</v>
      </c>
      <c r="B83" s="346"/>
      <c r="C83" s="352" t="s">
        <v>152</v>
      </c>
      <c r="D83" s="238" t="s">
        <v>107</v>
      </c>
      <c r="E83" s="327"/>
      <c r="F83" s="325">
        <f>SUM(F84:F99)</f>
        <v>4457.339999999998</v>
      </c>
      <c r="G83" s="609"/>
      <c r="H83" s="610"/>
      <c r="I83" s="609">
        <f>P83/$K$4</f>
        <v>0</v>
      </c>
      <c r="J83" s="610">
        <f>F83*I83</f>
        <v>0</v>
      </c>
      <c r="K83" s="253">
        <f>H83+J83</f>
        <v>0</v>
      </c>
      <c r="L83" s="137">
        <f>SUM(K83:K107)</f>
        <v>0</v>
      </c>
      <c r="M83" s="137">
        <f>L83/F83</f>
        <v>0</v>
      </c>
      <c r="O83" s="452"/>
      <c r="P83" s="611"/>
    </row>
    <row r="84" spans="1:16" ht="15.75">
      <c r="A84" s="91"/>
      <c r="B84" s="349"/>
      <c r="C84" s="353" t="str">
        <f>C61</f>
        <v>დონე +14.98 (+3 სართული)</v>
      </c>
      <c r="D84" s="260" t="s">
        <v>107</v>
      </c>
      <c r="E84" s="369"/>
      <c r="F84" s="308">
        <f>65.5*4.2</f>
        <v>275.1</v>
      </c>
      <c r="G84" s="541"/>
      <c r="H84" s="612"/>
      <c r="I84" s="542"/>
      <c r="J84" s="612"/>
      <c r="K84" s="258"/>
      <c r="L84" s="139"/>
      <c r="M84" s="139"/>
      <c r="O84" s="453"/>
      <c r="P84" s="263"/>
    </row>
    <row r="85" spans="1:16" s="451" customFormat="1" ht="15.75" outlineLevel="1">
      <c r="A85" s="90"/>
      <c r="B85" s="347"/>
      <c r="C85" s="353" t="str">
        <f aca="true" t="shared" si="10" ref="C85:C99">C62</f>
        <v>დონე +20.28 (+4 სართული)</v>
      </c>
      <c r="D85" s="260" t="s">
        <v>107</v>
      </c>
      <c r="E85" s="96"/>
      <c r="F85" s="308">
        <f aca="true" t="shared" si="11" ref="F85:F97">65.5*4.2</f>
        <v>275.1</v>
      </c>
      <c r="G85" s="212"/>
      <c r="H85" s="294"/>
      <c r="I85" s="212"/>
      <c r="J85" s="294"/>
      <c r="K85" s="131"/>
      <c r="L85" s="138"/>
      <c r="M85" s="138"/>
      <c r="O85" s="179"/>
      <c r="P85" s="271"/>
    </row>
    <row r="86" spans="1:16" s="451" customFormat="1" ht="15.75" outlineLevel="1">
      <c r="A86" s="90"/>
      <c r="B86" s="347"/>
      <c r="C86" s="353" t="str">
        <f t="shared" si="10"/>
        <v>დონე +23.88 (+5 სართული)</v>
      </c>
      <c r="D86" s="260" t="s">
        <v>107</v>
      </c>
      <c r="E86" s="96"/>
      <c r="F86" s="308">
        <f t="shared" si="11"/>
        <v>275.1</v>
      </c>
      <c r="G86" s="212"/>
      <c r="H86" s="294"/>
      <c r="I86" s="212"/>
      <c r="J86" s="294"/>
      <c r="K86" s="131"/>
      <c r="L86" s="138"/>
      <c r="M86" s="138"/>
      <c r="O86" s="179"/>
      <c r="P86" s="271"/>
    </row>
    <row r="87" spans="1:16" s="451" customFormat="1" ht="15.75" outlineLevel="1">
      <c r="A87" s="90"/>
      <c r="B87" s="347"/>
      <c r="C87" s="353" t="str">
        <f t="shared" si="10"/>
        <v>დონე +27.48 (+6 სართული)</v>
      </c>
      <c r="D87" s="260" t="s">
        <v>107</v>
      </c>
      <c r="E87" s="96"/>
      <c r="F87" s="308">
        <f t="shared" si="11"/>
        <v>275.1</v>
      </c>
      <c r="G87" s="212"/>
      <c r="H87" s="294"/>
      <c r="I87" s="212"/>
      <c r="J87" s="294"/>
      <c r="K87" s="131"/>
      <c r="L87" s="138"/>
      <c r="M87" s="138"/>
      <c r="O87" s="179"/>
      <c r="P87" s="271"/>
    </row>
    <row r="88" spans="1:16" s="451" customFormat="1" ht="15.75" outlineLevel="1">
      <c r="A88" s="90"/>
      <c r="B88" s="347"/>
      <c r="C88" s="353" t="str">
        <f t="shared" si="10"/>
        <v>დონე +31.08 (+7 სართული)</v>
      </c>
      <c r="D88" s="260" t="s">
        <v>107</v>
      </c>
      <c r="E88" s="96"/>
      <c r="F88" s="308">
        <f t="shared" si="11"/>
        <v>275.1</v>
      </c>
      <c r="G88" s="212"/>
      <c r="H88" s="294"/>
      <c r="I88" s="212"/>
      <c r="J88" s="294"/>
      <c r="K88" s="131"/>
      <c r="L88" s="138"/>
      <c r="M88" s="138"/>
      <c r="O88" s="179"/>
      <c r="P88" s="271"/>
    </row>
    <row r="89" spans="1:16" s="451" customFormat="1" ht="15.75" outlineLevel="1">
      <c r="A89" s="90"/>
      <c r="B89" s="347"/>
      <c r="C89" s="353" t="str">
        <f t="shared" si="10"/>
        <v>დონე +34.68 (+8 სართული)</v>
      </c>
      <c r="D89" s="260" t="s">
        <v>107</v>
      </c>
      <c r="E89" s="96"/>
      <c r="F89" s="308">
        <f t="shared" si="11"/>
        <v>275.1</v>
      </c>
      <c r="G89" s="212"/>
      <c r="H89" s="294"/>
      <c r="I89" s="212"/>
      <c r="J89" s="294"/>
      <c r="K89" s="131"/>
      <c r="L89" s="138"/>
      <c r="M89" s="138"/>
      <c r="O89" s="179"/>
      <c r="P89" s="271"/>
    </row>
    <row r="90" spans="1:16" s="451" customFormat="1" ht="15.75" outlineLevel="1">
      <c r="A90" s="90"/>
      <c r="B90" s="347"/>
      <c r="C90" s="353" t="str">
        <f t="shared" si="10"/>
        <v>დონე +38.28 (+9 სართული)</v>
      </c>
      <c r="D90" s="260" t="s">
        <v>107</v>
      </c>
      <c r="E90" s="96"/>
      <c r="F90" s="308">
        <f t="shared" si="11"/>
        <v>275.1</v>
      </c>
      <c r="G90" s="212"/>
      <c r="H90" s="294"/>
      <c r="I90" s="212"/>
      <c r="J90" s="294"/>
      <c r="K90" s="131"/>
      <c r="L90" s="138"/>
      <c r="M90" s="138"/>
      <c r="O90" s="179"/>
      <c r="P90" s="271"/>
    </row>
    <row r="91" spans="1:16" s="451" customFormat="1" ht="15.75" outlineLevel="1">
      <c r="A91" s="90"/>
      <c r="B91" s="347"/>
      <c r="C91" s="353" t="str">
        <f t="shared" si="10"/>
        <v>დონე +41.88 (+10 სართული)</v>
      </c>
      <c r="D91" s="260" t="s">
        <v>107</v>
      </c>
      <c r="E91" s="96"/>
      <c r="F91" s="308">
        <f t="shared" si="11"/>
        <v>275.1</v>
      </c>
      <c r="G91" s="212"/>
      <c r="H91" s="294"/>
      <c r="I91" s="212"/>
      <c r="J91" s="294"/>
      <c r="K91" s="131"/>
      <c r="L91" s="138"/>
      <c r="M91" s="138"/>
      <c r="O91" s="179"/>
      <c r="P91" s="271"/>
    </row>
    <row r="92" spans="1:16" s="451" customFormat="1" ht="15.75" outlineLevel="1">
      <c r="A92" s="90"/>
      <c r="B92" s="347"/>
      <c r="C92" s="353" t="str">
        <f t="shared" si="10"/>
        <v>დონე +45.48 (+11 სართული)</v>
      </c>
      <c r="D92" s="260" t="s">
        <v>107</v>
      </c>
      <c r="E92" s="96"/>
      <c r="F92" s="308">
        <f t="shared" si="11"/>
        <v>275.1</v>
      </c>
      <c r="G92" s="212"/>
      <c r="H92" s="294"/>
      <c r="I92" s="212"/>
      <c r="J92" s="294"/>
      <c r="K92" s="131"/>
      <c r="L92" s="138"/>
      <c r="M92" s="138"/>
      <c r="O92" s="179"/>
      <c r="P92" s="271"/>
    </row>
    <row r="93" spans="1:16" s="451" customFormat="1" ht="15.75" outlineLevel="1">
      <c r="A93" s="90"/>
      <c r="B93" s="347"/>
      <c r="C93" s="353" t="str">
        <f t="shared" si="10"/>
        <v>დონე +49.08 (+12 სართული)</v>
      </c>
      <c r="D93" s="260" t="s">
        <v>107</v>
      </c>
      <c r="E93" s="96"/>
      <c r="F93" s="308">
        <f t="shared" si="11"/>
        <v>275.1</v>
      </c>
      <c r="G93" s="212"/>
      <c r="H93" s="294"/>
      <c r="I93" s="212"/>
      <c r="J93" s="294"/>
      <c r="K93" s="131"/>
      <c r="L93" s="138"/>
      <c r="M93" s="138"/>
      <c r="O93" s="179"/>
      <c r="P93" s="271"/>
    </row>
    <row r="94" spans="1:16" s="451" customFormat="1" ht="15.75" outlineLevel="1">
      <c r="A94" s="90"/>
      <c r="B94" s="347"/>
      <c r="C94" s="353" t="str">
        <f t="shared" si="10"/>
        <v>დონე +52.68 (+13 სართული)</v>
      </c>
      <c r="D94" s="260" t="s">
        <v>107</v>
      </c>
      <c r="E94" s="96"/>
      <c r="F94" s="308">
        <f t="shared" si="11"/>
        <v>275.1</v>
      </c>
      <c r="G94" s="212"/>
      <c r="H94" s="294"/>
      <c r="I94" s="212"/>
      <c r="J94" s="294"/>
      <c r="K94" s="131"/>
      <c r="L94" s="138"/>
      <c r="M94" s="138"/>
      <c r="O94" s="179"/>
      <c r="P94" s="271"/>
    </row>
    <row r="95" spans="1:16" s="451" customFormat="1" ht="15.75" outlineLevel="1">
      <c r="A95" s="90"/>
      <c r="B95" s="347"/>
      <c r="C95" s="353" t="str">
        <f t="shared" si="10"/>
        <v>დონე +56.28 (+14 სართული)</v>
      </c>
      <c r="D95" s="260" t="s">
        <v>107</v>
      </c>
      <c r="E95" s="96"/>
      <c r="F95" s="308">
        <f t="shared" si="11"/>
        <v>275.1</v>
      </c>
      <c r="G95" s="212"/>
      <c r="H95" s="294"/>
      <c r="I95" s="212"/>
      <c r="J95" s="294"/>
      <c r="K95" s="131"/>
      <c r="L95" s="138"/>
      <c r="M95" s="138"/>
      <c r="O95" s="179"/>
      <c r="P95" s="271"/>
    </row>
    <row r="96" spans="1:16" s="451" customFormat="1" ht="15.75" outlineLevel="1">
      <c r="A96" s="90"/>
      <c r="B96" s="347"/>
      <c r="C96" s="353" t="str">
        <f t="shared" si="10"/>
        <v>დონე +59.88 (+15 სართული)</v>
      </c>
      <c r="D96" s="260" t="s">
        <v>107</v>
      </c>
      <c r="E96" s="96"/>
      <c r="F96" s="308">
        <f t="shared" si="11"/>
        <v>275.1</v>
      </c>
      <c r="G96" s="212"/>
      <c r="H96" s="294"/>
      <c r="I96" s="212"/>
      <c r="J96" s="294"/>
      <c r="K96" s="131"/>
      <c r="L96" s="138"/>
      <c r="M96" s="138"/>
      <c r="O96" s="179"/>
      <c r="P96" s="271"/>
    </row>
    <row r="97" spans="1:16" s="451" customFormat="1" ht="15.75" outlineLevel="1">
      <c r="A97" s="90"/>
      <c r="B97" s="347"/>
      <c r="C97" s="353" t="str">
        <f t="shared" si="10"/>
        <v>დონე +63.48 (+16 სართული)</v>
      </c>
      <c r="D97" s="260" t="s">
        <v>107</v>
      </c>
      <c r="E97" s="96"/>
      <c r="F97" s="308">
        <f t="shared" si="11"/>
        <v>275.1</v>
      </c>
      <c r="G97" s="212"/>
      <c r="H97" s="294"/>
      <c r="I97" s="212"/>
      <c r="J97" s="294"/>
      <c r="K97" s="131"/>
      <c r="L97" s="138"/>
      <c r="M97" s="138"/>
      <c r="O97" s="179"/>
      <c r="P97" s="271"/>
    </row>
    <row r="98" spans="1:16" s="451" customFormat="1" ht="15.75" outlineLevel="1">
      <c r="A98" s="90"/>
      <c r="B98" s="347"/>
      <c r="C98" s="353" t="str">
        <f t="shared" si="10"/>
        <v>დონე +67.08 (+17 სართული)</v>
      </c>
      <c r="D98" s="260" t="s">
        <v>107</v>
      </c>
      <c r="E98" s="96"/>
      <c r="F98" s="308">
        <f>81.3*4.2</f>
        <v>341.46</v>
      </c>
      <c r="G98" s="212"/>
      <c r="H98" s="294"/>
      <c r="I98" s="212"/>
      <c r="J98" s="294"/>
      <c r="K98" s="131"/>
      <c r="L98" s="138"/>
      <c r="M98" s="138"/>
      <c r="O98" s="179"/>
      <c r="P98" s="271"/>
    </row>
    <row r="99" spans="1:16" ht="15.75">
      <c r="A99" s="91"/>
      <c r="B99" s="349"/>
      <c r="C99" s="353" t="str">
        <f t="shared" si="10"/>
        <v>დონე +70.68 (+18 სართული)</v>
      </c>
      <c r="D99" s="260" t="s">
        <v>107</v>
      </c>
      <c r="E99" s="369"/>
      <c r="F99" s="308">
        <f>45.6*5.8</f>
        <v>264.48</v>
      </c>
      <c r="G99" s="541"/>
      <c r="H99" s="612"/>
      <c r="I99" s="542"/>
      <c r="J99" s="612"/>
      <c r="K99" s="258"/>
      <c r="L99" s="139"/>
      <c r="M99" s="139"/>
      <c r="O99" s="453"/>
      <c r="P99" s="263"/>
    </row>
    <row r="100" spans="1:16" ht="15.75">
      <c r="A100" s="91"/>
      <c r="B100" s="349"/>
      <c r="C100" s="219" t="s">
        <v>150</v>
      </c>
      <c r="D100" s="260" t="s">
        <v>107</v>
      </c>
      <c r="E100" s="626">
        <v>4.2</v>
      </c>
      <c r="F100" s="326">
        <f>$F$83*E100</f>
        <v>18720.827999999994</v>
      </c>
      <c r="G100" s="542">
        <f aca="true" t="shared" si="12" ref="G100:G107">O100/$K$4</f>
        <v>0</v>
      </c>
      <c r="H100" s="612">
        <f aca="true" t="shared" si="13" ref="H100:H107">F100*G100</f>
        <v>0</v>
      </c>
      <c r="I100" s="542"/>
      <c r="J100" s="612"/>
      <c r="K100" s="258">
        <f aca="true" t="shared" si="14" ref="K100:K107">H100+J100</f>
        <v>0</v>
      </c>
      <c r="L100" s="139"/>
      <c r="M100" s="139"/>
      <c r="O100" s="259"/>
      <c r="P100" s="342"/>
    </row>
    <row r="101" spans="1:16" ht="15.75">
      <c r="A101" s="405"/>
      <c r="B101" s="404"/>
      <c r="C101" s="219" t="s">
        <v>109</v>
      </c>
      <c r="D101" s="260" t="s">
        <v>73</v>
      </c>
      <c r="E101" s="626">
        <v>7</v>
      </c>
      <c r="F101" s="326">
        <f aca="true" t="shared" si="15" ref="F101:F107">$F$83*E101</f>
        <v>31201.37999999999</v>
      </c>
      <c r="G101" s="542">
        <f t="shared" si="12"/>
        <v>0</v>
      </c>
      <c r="H101" s="613">
        <f t="shared" si="13"/>
        <v>0</v>
      </c>
      <c r="I101" s="614"/>
      <c r="J101" s="613"/>
      <c r="K101" s="258">
        <f t="shared" si="14"/>
        <v>0</v>
      </c>
      <c r="L101" s="139"/>
      <c r="M101" s="139"/>
      <c r="O101" s="259"/>
      <c r="P101" s="601"/>
    </row>
    <row r="102" spans="1:16" ht="15.75">
      <c r="A102" s="91"/>
      <c r="B102" s="349"/>
      <c r="C102" s="219" t="s">
        <v>110</v>
      </c>
      <c r="D102" s="260" t="s">
        <v>111</v>
      </c>
      <c r="E102" s="626">
        <v>2</v>
      </c>
      <c r="F102" s="326">
        <f t="shared" si="15"/>
        <v>8914.679999999997</v>
      </c>
      <c r="G102" s="542">
        <f t="shared" si="12"/>
        <v>0</v>
      </c>
      <c r="H102" s="612">
        <f t="shared" si="13"/>
        <v>0</v>
      </c>
      <c r="I102" s="542"/>
      <c r="J102" s="612"/>
      <c r="K102" s="258">
        <f t="shared" si="14"/>
        <v>0</v>
      </c>
      <c r="L102" s="139"/>
      <c r="M102" s="139"/>
      <c r="O102" s="259"/>
      <c r="P102" s="342"/>
    </row>
    <row r="103" spans="1:16" ht="15.75">
      <c r="A103" s="91"/>
      <c r="B103" s="349"/>
      <c r="C103" s="219" t="s">
        <v>112</v>
      </c>
      <c r="D103" s="260" t="s">
        <v>73</v>
      </c>
      <c r="E103" s="626">
        <v>0.7</v>
      </c>
      <c r="F103" s="326">
        <f t="shared" si="15"/>
        <v>3120.1379999999986</v>
      </c>
      <c r="G103" s="542">
        <f t="shared" si="12"/>
        <v>0</v>
      </c>
      <c r="H103" s="612">
        <f t="shared" si="13"/>
        <v>0</v>
      </c>
      <c r="I103" s="542"/>
      <c r="J103" s="612"/>
      <c r="K103" s="258">
        <f t="shared" si="14"/>
        <v>0</v>
      </c>
      <c r="L103" s="139"/>
      <c r="M103" s="139"/>
      <c r="O103" s="259"/>
      <c r="P103" s="342"/>
    </row>
    <row r="104" spans="1:16" ht="15.75">
      <c r="A104" s="91"/>
      <c r="B104" s="349"/>
      <c r="C104" s="219" t="s">
        <v>113</v>
      </c>
      <c r="D104" s="260" t="s">
        <v>73</v>
      </c>
      <c r="E104" s="626">
        <v>3</v>
      </c>
      <c r="F104" s="326">
        <f t="shared" si="15"/>
        <v>13372.019999999995</v>
      </c>
      <c r="G104" s="542">
        <f t="shared" si="12"/>
        <v>0</v>
      </c>
      <c r="H104" s="612">
        <f t="shared" si="13"/>
        <v>0</v>
      </c>
      <c r="I104" s="542"/>
      <c r="J104" s="612"/>
      <c r="K104" s="258">
        <f t="shared" si="14"/>
        <v>0</v>
      </c>
      <c r="L104" s="139"/>
      <c r="M104" s="139"/>
      <c r="O104" s="259"/>
      <c r="P104" s="342"/>
    </row>
    <row r="105" spans="1:16" ht="15.75">
      <c r="A105" s="405"/>
      <c r="B105" s="404"/>
      <c r="C105" s="219" t="s">
        <v>114</v>
      </c>
      <c r="D105" s="260" t="s">
        <v>73</v>
      </c>
      <c r="E105" s="626">
        <v>28</v>
      </c>
      <c r="F105" s="326">
        <f t="shared" si="15"/>
        <v>124805.51999999996</v>
      </c>
      <c r="G105" s="542">
        <f t="shared" si="12"/>
        <v>0</v>
      </c>
      <c r="H105" s="613">
        <f t="shared" si="13"/>
        <v>0</v>
      </c>
      <c r="I105" s="614"/>
      <c r="J105" s="613"/>
      <c r="K105" s="258">
        <f t="shared" si="14"/>
        <v>0</v>
      </c>
      <c r="L105" s="139"/>
      <c r="M105" s="139"/>
      <c r="O105" s="259"/>
      <c r="P105" s="601"/>
    </row>
    <row r="106" spans="1:16" ht="15.75">
      <c r="A106" s="91"/>
      <c r="B106" s="349"/>
      <c r="C106" s="219" t="s">
        <v>115</v>
      </c>
      <c r="D106" s="260" t="s">
        <v>73</v>
      </c>
      <c r="E106" s="626">
        <v>1.6</v>
      </c>
      <c r="F106" s="326">
        <f t="shared" si="15"/>
        <v>7131.743999999998</v>
      </c>
      <c r="G106" s="542">
        <f t="shared" si="12"/>
        <v>0</v>
      </c>
      <c r="H106" s="613">
        <f t="shared" si="13"/>
        <v>0</v>
      </c>
      <c r="I106" s="614"/>
      <c r="J106" s="613"/>
      <c r="K106" s="557">
        <f t="shared" si="14"/>
        <v>0</v>
      </c>
      <c r="L106" s="139"/>
      <c r="M106" s="139"/>
      <c r="O106" s="259"/>
      <c r="P106" s="601"/>
    </row>
    <row r="107" spans="1:16" ht="10.8" thickBot="1">
      <c r="A107" s="598"/>
      <c r="B107" s="351"/>
      <c r="C107" s="219" t="s">
        <v>151</v>
      </c>
      <c r="D107" s="260" t="s">
        <v>107</v>
      </c>
      <c r="E107" s="305">
        <v>1.1</v>
      </c>
      <c r="F107" s="326">
        <f t="shared" si="15"/>
        <v>4903.073999999999</v>
      </c>
      <c r="G107" s="542">
        <f t="shared" si="12"/>
        <v>0</v>
      </c>
      <c r="H107" s="613">
        <f t="shared" si="13"/>
        <v>0</v>
      </c>
      <c r="I107" s="614"/>
      <c r="J107" s="613"/>
      <c r="K107" s="258">
        <f t="shared" si="14"/>
        <v>0</v>
      </c>
      <c r="L107" s="140"/>
      <c r="M107" s="139"/>
      <c r="O107" s="259"/>
      <c r="P107" s="601"/>
    </row>
    <row r="108" spans="1:16" s="451" customFormat="1" ht="15.75">
      <c r="A108" s="445">
        <v>8</v>
      </c>
      <c r="B108" s="346"/>
      <c r="C108" s="48" t="s">
        <v>84</v>
      </c>
      <c r="D108" s="303" t="s">
        <v>81</v>
      </c>
      <c r="E108" s="303"/>
      <c r="F108" s="300">
        <f>SUM(F109:F124)</f>
        <v>1890</v>
      </c>
      <c r="G108" s="343"/>
      <c r="H108" s="300"/>
      <c r="I108" s="343">
        <f>P108/$K$4</f>
        <v>0</v>
      </c>
      <c r="J108" s="300">
        <f>F108*I108</f>
        <v>0</v>
      </c>
      <c r="K108" s="130">
        <f>H108+J108</f>
        <v>0</v>
      </c>
      <c r="L108" s="137">
        <f>SUM(K108:K125)</f>
        <v>0</v>
      </c>
      <c r="M108" s="137">
        <f>L108/F108</f>
        <v>0</v>
      </c>
      <c r="O108" s="170"/>
      <c r="P108" s="272"/>
    </row>
    <row r="109" spans="1:16" s="451" customFormat="1" ht="15.75" outlineLevel="1">
      <c r="A109" s="90"/>
      <c r="B109" s="347"/>
      <c r="C109" s="345" t="str">
        <f aca="true" t="shared" si="16" ref="C109:C124">C61</f>
        <v>დონე +14.98 (+3 სართული)</v>
      </c>
      <c r="D109" s="308" t="s">
        <v>17</v>
      </c>
      <c r="E109" s="96"/>
      <c r="F109" s="308">
        <f aca="true" t="shared" si="17" ref="F109:F124">F61*2</f>
        <v>126</v>
      </c>
      <c r="G109" s="212"/>
      <c r="H109" s="294"/>
      <c r="I109" s="212"/>
      <c r="J109" s="294"/>
      <c r="K109" s="131"/>
      <c r="L109" s="138"/>
      <c r="M109" s="138"/>
      <c r="O109" s="179"/>
      <c r="P109" s="271"/>
    </row>
    <row r="110" spans="1:16" s="451" customFormat="1" ht="15.75" outlineLevel="1">
      <c r="A110" s="90"/>
      <c r="B110" s="347"/>
      <c r="C110" s="345" t="str">
        <f t="shared" si="16"/>
        <v>დონე +20.28 (+4 სართული)</v>
      </c>
      <c r="D110" s="308" t="s">
        <v>17</v>
      </c>
      <c r="E110" s="96"/>
      <c r="F110" s="308">
        <f t="shared" si="17"/>
        <v>126</v>
      </c>
      <c r="G110" s="212"/>
      <c r="H110" s="294"/>
      <c r="I110" s="212"/>
      <c r="J110" s="294"/>
      <c r="K110" s="131"/>
      <c r="L110" s="138"/>
      <c r="M110" s="138"/>
      <c r="O110" s="179"/>
      <c r="P110" s="271"/>
    </row>
    <row r="111" spans="1:16" s="451" customFormat="1" ht="15.75" outlineLevel="1">
      <c r="A111" s="90"/>
      <c r="B111" s="347"/>
      <c r="C111" s="345" t="str">
        <f t="shared" si="16"/>
        <v>დონე +23.88 (+5 სართული)</v>
      </c>
      <c r="D111" s="308" t="s">
        <v>17</v>
      </c>
      <c r="E111" s="96"/>
      <c r="F111" s="308">
        <f t="shared" si="17"/>
        <v>126</v>
      </c>
      <c r="G111" s="212"/>
      <c r="H111" s="294"/>
      <c r="I111" s="212"/>
      <c r="J111" s="294"/>
      <c r="K111" s="131"/>
      <c r="L111" s="138"/>
      <c r="M111" s="138"/>
      <c r="O111" s="179"/>
      <c r="P111" s="271"/>
    </row>
    <row r="112" spans="1:16" s="451" customFormat="1" ht="15.75" outlineLevel="1">
      <c r="A112" s="90"/>
      <c r="B112" s="347"/>
      <c r="C112" s="345" t="str">
        <f t="shared" si="16"/>
        <v>დონე +27.48 (+6 სართული)</v>
      </c>
      <c r="D112" s="308" t="s">
        <v>17</v>
      </c>
      <c r="E112" s="96"/>
      <c r="F112" s="308">
        <f t="shared" si="17"/>
        <v>126</v>
      </c>
      <c r="G112" s="212"/>
      <c r="H112" s="294"/>
      <c r="I112" s="212"/>
      <c r="J112" s="294"/>
      <c r="K112" s="131"/>
      <c r="L112" s="138"/>
      <c r="M112" s="138"/>
      <c r="O112" s="179"/>
      <c r="P112" s="271"/>
    </row>
    <row r="113" spans="1:16" s="451" customFormat="1" ht="15.75" outlineLevel="1">
      <c r="A113" s="90"/>
      <c r="B113" s="347"/>
      <c r="C113" s="345" t="str">
        <f t="shared" si="16"/>
        <v>დონე +31.08 (+7 სართული)</v>
      </c>
      <c r="D113" s="308" t="s">
        <v>17</v>
      </c>
      <c r="E113" s="96"/>
      <c r="F113" s="308">
        <f t="shared" si="17"/>
        <v>126</v>
      </c>
      <c r="G113" s="212"/>
      <c r="H113" s="294"/>
      <c r="I113" s="212"/>
      <c r="J113" s="294"/>
      <c r="K113" s="131"/>
      <c r="L113" s="138"/>
      <c r="M113" s="138"/>
      <c r="O113" s="179"/>
      <c r="P113" s="271"/>
    </row>
    <row r="114" spans="1:16" s="451" customFormat="1" ht="15.75" outlineLevel="1">
      <c r="A114" s="90"/>
      <c r="B114" s="347"/>
      <c r="C114" s="345" t="str">
        <f t="shared" si="16"/>
        <v>დონე +34.68 (+8 სართული)</v>
      </c>
      <c r="D114" s="308" t="s">
        <v>17</v>
      </c>
      <c r="E114" s="96"/>
      <c r="F114" s="308">
        <f t="shared" si="17"/>
        <v>126</v>
      </c>
      <c r="G114" s="212"/>
      <c r="H114" s="294"/>
      <c r="I114" s="212"/>
      <c r="J114" s="294"/>
      <c r="K114" s="131"/>
      <c r="L114" s="138"/>
      <c r="M114" s="138"/>
      <c r="O114" s="179"/>
      <c r="P114" s="271"/>
    </row>
    <row r="115" spans="1:16" s="451" customFormat="1" ht="15.75" outlineLevel="1">
      <c r="A115" s="90"/>
      <c r="B115" s="347"/>
      <c r="C115" s="345" t="str">
        <f t="shared" si="16"/>
        <v>დონე +38.28 (+9 სართული)</v>
      </c>
      <c r="D115" s="308" t="s">
        <v>17</v>
      </c>
      <c r="E115" s="96"/>
      <c r="F115" s="308">
        <f t="shared" si="17"/>
        <v>126</v>
      </c>
      <c r="G115" s="212"/>
      <c r="H115" s="294"/>
      <c r="I115" s="212"/>
      <c r="J115" s="294"/>
      <c r="K115" s="131"/>
      <c r="L115" s="138"/>
      <c r="M115" s="138"/>
      <c r="O115" s="179"/>
      <c r="P115" s="271"/>
    </row>
    <row r="116" spans="1:16" s="451" customFormat="1" ht="15.75" outlineLevel="1">
      <c r="A116" s="90"/>
      <c r="B116" s="347"/>
      <c r="C116" s="345" t="str">
        <f t="shared" si="16"/>
        <v>დონე +41.88 (+10 სართული)</v>
      </c>
      <c r="D116" s="308" t="s">
        <v>17</v>
      </c>
      <c r="E116" s="96"/>
      <c r="F116" s="308">
        <f t="shared" si="17"/>
        <v>126</v>
      </c>
      <c r="G116" s="212"/>
      <c r="H116" s="294"/>
      <c r="I116" s="212"/>
      <c r="J116" s="294"/>
      <c r="K116" s="131"/>
      <c r="L116" s="138"/>
      <c r="M116" s="138"/>
      <c r="O116" s="179"/>
      <c r="P116" s="271"/>
    </row>
    <row r="117" spans="1:16" s="451" customFormat="1" ht="15.75" outlineLevel="1">
      <c r="A117" s="90"/>
      <c r="B117" s="347"/>
      <c r="C117" s="345" t="str">
        <f t="shared" si="16"/>
        <v>დონე +45.48 (+11 სართული)</v>
      </c>
      <c r="D117" s="308" t="s">
        <v>17</v>
      </c>
      <c r="E117" s="96"/>
      <c r="F117" s="308">
        <f t="shared" si="17"/>
        <v>126</v>
      </c>
      <c r="G117" s="212"/>
      <c r="H117" s="294"/>
      <c r="I117" s="212"/>
      <c r="J117" s="294"/>
      <c r="K117" s="131"/>
      <c r="L117" s="138"/>
      <c r="M117" s="138"/>
      <c r="O117" s="179"/>
      <c r="P117" s="271"/>
    </row>
    <row r="118" spans="1:16" s="451" customFormat="1" ht="15.75" outlineLevel="1">
      <c r="A118" s="90"/>
      <c r="B118" s="347"/>
      <c r="C118" s="345" t="str">
        <f t="shared" si="16"/>
        <v>დონე +49.08 (+12 სართული)</v>
      </c>
      <c r="D118" s="308" t="s">
        <v>17</v>
      </c>
      <c r="E118" s="96"/>
      <c r="F118" s="308">
        <f t="shared" si="17"/>
        <v>126</v>
      </c>
      <c r="G118" s="212"/>
      <c r="H118" s="294"/>
      <c r="I118" s="212"/>
      <c r="J118" s="294"/>
      <c r="K118" s="131"/>
      <c r="L118" s="138"/>
      <c r="M118" s="138"/>
      <c r="O118" s="179"/>
      <c r="P118" s="271"/>
    </row>
    <row r="119" spans="1:16" s="451" customFormat="1" ht="15.75" outlineLevel="1">
      <c r="A119" s="90"/>
      <c r="B119" s="347"/>
      <c r="C119" s="345" t="str">
        <f t="shared" si="16"/>
        <v>დონე +52.68 (+13 სართული)</v>
      </c>
      <c r="D119" s="308" t="s">
        <v>17</v>
      </c>
      <c r="E119" s="96"/>
      <c r="F119" s="308">
        <f t="shared" si="17"/>
        <v>126</v>
      </c>
      <c r="G119" s="212"/>
      <c r="H119" s="294"/>
      <c r="I119" s="212"/>
      <c r="J119" s="294"/>
      <c r="K119" s="131"/>
      <c r="L119" s="138"/>
      <c r="M119" s="138"/>
      <c r="O119" s="179"/>
      <c r="P119" s="271"/>
    </row>
    <row r="120" spans="1:16" s="451" customFormat="1" ht="15.75" outlineLevel="1">
      <c r="A120" s="90"/>
      <c r="B120" s="347"/>
      <c r="C120" s="345" t="str">
        <f t="shared" si="16"/>
        <v>დონე +56.28 (+14 სართული)</v>
      </c>
      <c r="D120" s="308" t="s">
        <v>17</v>
      </c>
      <c r="E120" s="96"/>
      <c r="F120" s="308">
        <f t="shared" si="17"/>
        <v>126</v>
      </c>
      <c r="G120" s="212"/>
      <c r="H120" s="294"/>
      <c r="I120" s="212"/>
      <c r="J120" s="294"/>
      <c r="K120" s="131"/>
      <c r="L120" s="138"/>
      <c r="M120" s="138"/>
      <c r="O120" s="179"/>
      <c r="P120" s="271"/>
    </row>
    <row r="121" spans="1:16" s="451" customFormat="1" ht="15.75" outlineLevel="1">
      <c r="A121" s="90"/>
      <c r="B121" s="347"/>
      <c r="C121" s="345" t="str">
        <f t="shared" si="16"/>
        <v>დონე +59.88 (+15 სართული)</v>
      </c>
      <c r="D121" s="308" t="s">
        <v>17</v>
      </c>
      <c r="E121" s="96"/>
      <c r="F121" s="308">
        <f t="shared" si="17"/>
        <v>126</v>
      </c>
      <c r="G121" s="212"/>
      <c r="H121" s="294"/>
      <c r="I121" s="212"/>
      <c r="J121" s="294"/>
      <c r="K121" s="131"/>
      <c r="L121" s="138"/>
      <c r="M121" s="138"/>
      <c r="O121" s="179"/>
      <c r="P121" s="271"/>
    </row>
    <row r="122" spans="1:16" s="451" customFormat="1" ht="15.75" outlineLevel="1">
      <c r="A122" s="90"/>
      <c r="B122" s="347"/>
      <c r="C122" s="345" t="str">
        <f t="shared" si="16"/>
        <v>დონე +63.48 (+16 სართული)</v>
      </c>
      <c r="D122" s="308" t="s">
        <v>17</v>
      </c>
      <c r="E122" s="96"/>
      <c r="F122" s="308">
        <f t="shared" si="17"/>
        <v>126</v>
      </c>
      <c r="G122" s="212"/>
      <c r="H122" s="294"/>
      <c r="I122" s="212"/>
      <c r="J122" s="294"/>
      <c r="K122" s="131"/>
      <c r="L122" s="138"/>
      <c r="M122" s="138"/>
      <c r="O122" s="179"/>
      <c r="P122" s="271"/>
    </row>
    <row r="123" spans="1:16" s="451" customFormat="1" ht="15.75" outlineLevel="1">
      <c r="A123" s="90"/>
      <c r="B123" s="347"/>
      <c r="C123" s="345" t="str">
        <f t="shared" si="16"/>
        <v>დონე +67.08 (+17 სართული)</v>
      </c>
      <c r="D123" s="308" t="s">
        <v>17</v>
      </c>
      <c r="E123" s="96"/>
      <c r="F123" s="308">
        <f t="shared" si="17"/>
        <v>126</v>
      </c>
      <c r="G123" s="212"/>
      <c r="H123" s="294"/>
      <c r="I123" s="212"/>
      <c r="J123" s="294"/>
      <c r="K123" s="131"/>
      <c r="L123" s="138"/>
      <c r="M123" s="138"/>
      <c r="O123" s="179"/>
      <c r="P123" s="271"/>
    </row>
    <row r="124" spans="1:16" s="451" customFormat="1" ht="15.75" outlineLevel="1">
      <c r="A124" s="90"/>
      <c r="B124" s="347"/>
      <c r="C124" s="345" t="str">
        <f t="shared" si="16"/>
        <v>დონე +70.68 (+18 სართული)</v>
      </c>
      <c r="D124" s="308" t="s">
        <v>17</v>
      </c>
      <c r="E124" s="96"/>
      <c r="F124" s="308">
        <f t="shared" si="17"/>
        <v>0</v>
      </c>
      <c r="G124" s="212"/>
      <c r="H124" s="294"/>
      <c r="I124" s="212"/>
      <c r="J124" s="294"/>
      <c r="K124" s="131"/>
      <c r="L124" s="138"/>
      <c r="M124" s="138"/>
      <c r="O124" s="179"/>
      <c r="P124" s="271"/>
    </row>
    <row r="125" spans="1:16" ht="10.8" thickBot="1">
      <c r="A125" s="91"/>
      <c r="B125" s="349"/>
      <c r="C125" s="501" t="s">
        <v>147</v>
      </c>
      <c r="D125" s="623" t="s">
        <v>77</v>
      </c>
      <c r="E125" s="413">
        <v>0.035</v>
      </c>
      <c r="F125" s="301">
        <f>$F$108*E125</f>
        <v>66.15</v>
      </c>
      <c r="G125" s="315">
        <f>O125/$K$4</f>
        <v>0</v>
      </c>
      <c r="H125" s="301">
        <f>F125*G125</f>
        <v>0</v>
      </c>
      <c r="I125" s="315"/>
      <c r="J125" s="301"/>
      <c r="K125" s="131">
        <f>H125+J125</f>
        <v>0</v>
      </c>
      <c r="L125" s="139"/>
      <c r="M125" s="139"/>
      <c r="O125" s="176"/>
      <c r="P125" s="269"/>
    </row>
    <row r="126" spans="1:16" ht="10.8" thickBot="1">
      <c r="A126" s="288"/>
      <c r="B126" s="288"/>
      <c r="C126" s="288"/>
      <c r="D126" s="286"/>
      <c r="E126" s="51"/>
      <c r="F126" s="53"/>
      <c r="G126" s="112"/>
      <c r="H126" s="53"/>
      <c r="I126" s="365"/>
      <c r="J126" s="54"/>
      <c r="K126" s="129"/>
      <c r="L126" s="129"/>
      <c r="M126" s="129"/>
      <c r="O126" s="177"/>
      <c r="P126" s="112"/>
    </row>
    <row r="127" spans="1:16" ht="24" thickBot="1">
      <c r="A127" s="827" t="s">
        <v>89</v>
      </c>
      <c r="B127" s="848"/>
      <c r="C127" s="848"/>
      <c r="D127" s="848"/>
      <c r="E127" s="848"/>
      <c r="F127" s="848"/>
      <c r="G127" s="848"/>
      <c r="H127" s="848"/>
      <c r="I127" s="848"/>
      <c r="J127" s="848"/>
      <c r="K127" s="848"/>
      <c r="L127" s="848"/>
      <c r="M127" s="849"/>
      <c r="P127" s="6"/>
    </row>
    <row r="128" spans="1:16" s="451" customFormat="1" ht="15.75">
      <c r="A128" s="445">
        <v>11</v>
      </c>
      <c r="B128" s="346"/>
      <c r="C128" s="616" t="s">
        <v>123</v>
      </c>
      <c r="D128" s="303" t="s">
        <v>107</v>
      </c>
      <c r="E128" s="303"/>
      <c r="F128" s="300">
        <f>SUM(F129:F144)</f>
        <v>0</v>
      </c>
      <c r="G128" s="343"/>
      <c r="H128" s="300"/>
      <c r="I128" s="343">
        <f>P128/$K$4</f>
        <v>0</v>
      </c>
      <c r="J128" s="300">
        <f>F128*I128</f>
        <v>0</v>
      </c>
      <c r="K128" s="130">
        <f>H128+J128</f>
        <v>0</v>
      </c>
      <c r="L128" s="137">
        <f>SUM(K128:K152)</f>
        <v>0</v>
      </c>
      <c r="M128" s="137" t="e">
        <f>L128/F128</f>
        <v>#DIV/0!</v>
      </c>
      <c r="O128" s="170"/>
      <c r="P128" s="272"/>
    </row>
    <row r="129" spans="1:16" s="451" customFormat="1" ht="15.75" outlineLevel="1">
      <c r="A129" s="90"/>
      <c r="B129" s="347"/>
      <c r="C129" s="522" t="str">
        <f>C109</f>
        <v>დონე +14.98 (+3 სართული)</v>
      </c>
      <c r="D129" s="96" t="s">
        <v>107</v>
      </c>
      <c r="E129" s="96"/>
      <c r="F129" s="308"/>
      <c r="G129" s="212"/>
      <c r="H129" s="294"/>
      <c r="I129" s="212"/>
      <c r="J129" s="294"/>
      <c r="K129" s="131"/>
      <c r="L129" s="138"/>
      <c r="M129" s="138"/>
      <c r="O129" s="179"/>
      <c r="P129" s="271"/>
    </row>
    <row r="130" spans="1:16" s="451" customFormat="1" ht="15.75" outlineLevel="1">
      <c r="A130" s="90"/>
      <c r="B130" s="347"/>
      <c r="C130" s="522" t="str">
        <f aca="true" t="shared" si="18" ref="C130:C144">C110</f>
        <v>დონე +20.28 (+4 სართული)</v>
      </c>
      <c r="D130" s="96" t="s">
        <v>107</v>
      </c>
      <c r="E130" s="96"/>
      <c r="F130" s="308"/>
      <c r="G130" s="212"/>
      <c r="H130" s="294"/>
      <c r="I130" s="212"/>
      <c r="J130" s="294"/>
      <c r="K130" s="131"/>
      <c r="L130" s="138"/>
      <c r="M130" s="138"/>
      <c r="O130" s="179"/>
      <c r="P130" s="271"/>
    </row>
    <row r="131" spans="1:16" s="451" customFormat="1" ht="15.75" outlineLevel="1">
      <c r="A131" s="90"/>
      <c r="B131" s="347"/>
      <c r="C131" s="522" t="str">
        <f t="shared" si="18"/>
        <v>დონე +23.88 (+5 სართული)</v>
      </c>
      <c r="D131" s="96" t="s">
        <v>107</v>
      </c>
      <c r="E131" s="96"/>
      <c r="F131" s="308"/>
      <c r="G131" s="212"/>
      <c r="H131" s="294"/>
      <c r="I131" s="212"/>
      <c r="J131" s="294"/>
      <c r="K131" s="131"/>
      <c r="L131" s="138"/>
      <c r="M131" s="138"/>
      <c r="O131" s="179"/>
      <c r="P131" s="271"/>
    </row>
    <row r="132" spans="1:16" s="451" customFormat="1" ht="15.75" outlineLevel="1">
      <c r="A132" s="90"/>
      <c r="B132" s="347"/>
      <c r="C132" s="522" t="str">
        <f t="shared" si="18"/>
        <v>დონე +27.48 (+6 სართული)</v>
      </c>
      <c r="D132" s="96" t="s">
        <v>107</v>
      </c>
      <c r="E132" s="96"/>
      <c r="F132" s="308"/>
      <c r="G132" s="212"/>
      <c r="H132" s="294"/>
      <c r="I132" s="212"/>
      <c r="J132" s="294"/>
      <c r="K132" s="131"/>
      <c r="L132" s="138"/>
      <c r="M132" s="138"/>
      <c r="O132" s="179"/>
      <c r="P132" s="271"/>
    </row>
    <row r="133" spans="1:16" s="451" customFormat="1" ht="15.75" outlineLevel="1">
      <c r="A133" s="90"/>
      <c r="B133" s="347"/>
      <c r="C133" s="522" t="str">
        <f t="shared" si="18"/>
        <v>დონე +31.08 (+7 სართული)</v>
      </c>
      <c r="D133" s="96" t="s">
        <v>107</v>
      </c>
      <c r="E133" s="96"/>
      <c r="F133" s="308"/>
      <c r="G133" s="212"/>
      <c r="H133" s="294"/>
      <c r="I133" s="212"/>
      <c r="J133" s="294"/>
      <c r="K133" s="131"/>
      <c r="L133" s="138"/>
      <c r="M133" s="138"/>
      <c r="O133" s="179"/>
      <c r="P133" s="271"/>
    </row>
    <row r="134" spans="1:16" s="451" customFormat="1" ht="15.75" outlineLevel="1">
      <c r="A134" s="90"/>
      <c r="B134" s="347"/>
      <c r="C134" s="522" t="str">
        <f t="shared" si="18"/>
        <v>დონე +34.68 (+8 სართული)</v>
      </c>
      <c r="D134" s="96" t="s">
        <v>107</v>
      </c>
      <c r="E134" s="96"/>
      <c r="F134" s="308"/>
      <c r="G134" s="212"/>
      <c r="H134" s="294"/>
      <c r="I134" s="212"/>
      <c r="J134" s="294"/>
      <c r="K134" s="131"/>
      <c r="L134" s="138"/>
      <c r="M134" s="138"/>
      <c r="O134" s="179"/>
      <c r="P134" s="271"/>
    </row>
    <row r="135" spans="1:16" s="451" customFormat="1" ht="15.75" outlineLevel="1">
      <c r="A135" s="90"/>
      <c r="B135" s="347"/>
      <c r="C135" s="522" t="str">
        <f t="shared" si="18"/>
        <v>დონე +38.28 (+9 სართული)</v>
      </c>
      <c r="D135" s="96" t="s">
        <v>107</v>
      </c>
      <c r="E135" s="96"/>
      <c r="F135" s="308"/>
      <c r="G135" s="212"/>
      <c r="H135" s="294"/>
      <c r="I135" s="212"/>
      <c r="J135" s="294"/>
      <c r="K135" s="131"/>
      <c r="L135" s="138"/>
      <c r="M135" s="138"/>
      <c r="O135" s="179"/>
      <c r="P135" s="271"/>
    </row>
    <row r="136" spans="1:16" s="451" customFormat="1" ht="15.75" outlineLevel="1">
      <c r="A136" s="90"/>
      <c r="B136" s="347"/>
      <c r="C136" s="522" t="str">
        <f t="shared" si="18"/>
        <v>დონე +41.88 (+10 სართული)</v>
      </c>
      <c r="D136" s="96" t="s">
        <v>107</v>
      </c>
      <c r="E136" s="96"/>
      <c r="F136" s="308"/>
      <c r="G136" s="212"/>
      <c r="H136" s="294"/>
      <c r="I136" s="212"/>
      <c r="J136" s="294"/>
      <c r="K136" s="131"/>
      <c r="L136" s="138"/>
      <c r="M136" s="138"/>
      <c r="O136" s="179"/>
      <c r="P136" s="271"/>
    </row>
    <row r="137" spans="1:16" s="451" customFormat="1" ht="15.75" outlineLevel="1">
      <c r="A137" s="90"/>
      <c r="B137" s="347"/>
      <c r="C137" s="522" t="str">
        <f t="shared" si="18"/>
        <v>დონე +45.48 (+11 სართული)</v>
      </c>
      <c r="D137" s="96" t="s">
        <v>107</v>
      </c>
      <c r="E137" s="96"/>
      <c r="F137" s="308"/>
      <c r="G137" s="212"/>
      <c r="H137" s="294"/>
      <c r="I137" s="212"/>
      <c r="J137" s="294"/>
      <c r="K137" s="131"/>
      <c r="L137" s="138"/>
      <c r="M137" s="138"/>
      <c r="O137" s="179"/>
      <c r="P137" s="271"/>
    </row>
    <row r="138" spans="1:16" s="451" customFormat="1" ht="15.75" outlineLevel="1">
      <c r="A138" s="90"/>
      <c r="B138" s="347"/>
      <c r="C138" s="522" t="str">
        <f t="shared" si="18"/>
        <v>დონე +49.08 (+12 სართული)</v>
      </c>
      <c r="D138" s="96" t="s">
        <v>107</v>
      </c>
      <c r="E138" s="96"/>
      <c r="F138" s="308"/>
      <c r="G138" s="212"/>
      <c r="H138" s="294"/>
      <c r="I138" s="212"/>
      <c r="J138" s="294"/>
      <c r="K138" s="131"/>
      <c r="L138" s="138"/>
      <c r="M138" s="138"/>
      <c r="O138" s="179"/>
      <c r="P138" s="271"/>
    </row>
    <row r="139" spans="1:16" s="451" customFormat="1" ht="15.75" outlineLevel="1">
      <c r="A139" s="90"/>
      <c r="B139" s="347"/>
      <c r="C139" s="522" t="str">
        <f t="shared" si="18"/>
        <v>დონე +52.68 (+13 სართული)</v>
      </c>
      <c r="D139" s="96" t="s">
        <v>107</v>
      </c>
      <c r="E139" s="96"/>
      <c r="F139" s="308"/>
      <c r="G139" s="212"/>
      <c r="H139" s="294"/>
      <c r="I139" s="212"/>
      <c r="J139" s="294"/>
      <c r="K139" s="131"/>
      <c r="L139" s="138"/>
      <c r="M139" s="138"/>
      <c r="O139" s="179"/>
      <c r="P139" s="271"/>
    </row>
    <row r="140" spans="1:16" s="451" customFormat="1" ht="15.75" outlineLevel="1">
      <c r="A140" s="90"/>
      <c r="B140" s="347"/>
      <c r="C140" s="522" t="str">
        <f t="shared" si="18"/>
        <v>დონე +56.28 (+14 სართული)</v>
      </c>
      <c r="D140" s="96" t="s">
        <v>107</v>
      </c>
      <c r="E140" s="96"/>
      <c r="F140" s="308"/>
      <c r="G140" s="212"/>
      <c r="H140" s="294"/>
      <c r="I140" s="212"/>
      <c r="J140" s="294"/>
      <c r="K140" s="131"/>
      <c r="L140" s="138"/>
      <c r="M140" s="138"/>
      <c r="O140" s="179"/>
      <c r="P140" s="271"/>
    </row>
    <row r="141" spans="1:16" s="451" customFormat="1" ht="15.75" outlineLevel="1">
      <c r="A141" s="90"/>
      <c r="B141" s="347"/>
      <c r="C141" s="522" t="str">
        <f t="shared" si="18"/>
        <v>დონე +59.88 (+15 სართული)</v>
      </c>
      <c r="D141" s="96" t="s">
        <v>107</v>
      </c>
      <c r="E141" s="96"/>
      <c r="F141" s="308"/>
      <c r="G141" s="212"/>
      <c r="H141" s="294"/>
      <c r="I141" s="212"/>
      <c r="J141" s="294"/>
      <c r="K141" s="131"/>
      <c r="L141" s="138"/>
      <c r="M141" s="138"/>
      <c r="O141" s="179"/>
      <c r="P141" s="271"/>
    </row>
    <row r="142" spans="1:16" s="451" customFormat="1" ht="15.75" outlineLevel="1">
      <c r="A142" s="90"/>
      <c r="B142" s="347"/>
      <c r="C142" s="522" t="str">
        <f t="shared" si="18"/>
        <v>დონე +63.48 (+16 სართული)</v>
      </c>
      <c r="D142" s="96" t="s">
        <v>107</v>
      </c>
      <c r="E142" s="96"/>
      <c r="F142" s="308"/>
      <c r="G142" s="212"/>
      <c r="H142" s="294"/>
      <c r="I142" s="212"/>
      <c r="J142" s="294"/>
      <c r="K142" s="131"/>
      <c r="L142" s="138"/>
      <c r="M142" s="138"/>
      <c r="O142" s="179"/>
      <c r="P142" s="271"/>
    </row>
    <row r="143" spans="1:16" s="451" customFormat="1" ht="15.75" outlineLevel="1">
      <c r="A143" s="90"/>
      <c r="B143" s="347"/>
      <c r="C143" s="522" t="str">
        <f t="shared" si="18"/>
        <v>დონე +67.08 (+17 სართული)</v>
      </c>
      <c r="D143" s="96" t="s">
        <v>107</v>
      </c>
      <c r="E143" s="96"/>
      <c r="F143" s="308"/>
      <c r="G143" s="212"/>
      <c r="H143" s="294"/>
      <c r="I143" s="212"/>
      <c r="J143" s="294"/>
      <c r="K143" s="131"/>
      <c r="L143" s="138"/>
      <c r="M143" s="138"/>
      <c r="O143" s="179"/>
      <c r="P143" s="271"/>
    </row>
    <row r="144" spans="1:16" s="451" customFormat="1" ht="15.75" outlineLevel="1">
      <c r="A144" s="90"/>
      <c r="B144" s="347"/>
      <c r="C144" s="522" t="str">
        <f t="shared" si="18"/>
        <v>დონე +70.68 (+18 სართული)</v>
      </c>
      <c r="D144" s="96" t="s">
        <v>107</v>
      </c>
      <c r="E144" s="96"/>
      <c r="F144" s="308"/>
      <c r="G144" s="212"/>
      <c r="H144" s="294"/>
      <c r="I144" s="212"/>
      <c r="J144" s="294"/>
      <c r="K144" s="131"/>
      <c r="L144" s="138"/>
      <c r="M144" s="138"/>
      <c r="O144" s="179"/>
      <c r="P144" s="271"/>
    </row>
    <row r="145" spans="1:16" ht="15.75">
      <c r="A145" s="91"/>
      <c r="B145" s="349"/>
      <c r="C145" s="501" t="s">
        <v>117</v>
      </c>
      <c r="D145" s="328" t="s">
        <v>107</v>
      </c>
      <c r="E145" s="305">
        <v>1.1</v>
      </c>
      <c r="F145" s="301">
        <f>$F$128*E145</f>
        <v>0</v>
      </c>
      <c r="G145" s="315">
        <f>O145/$K$4</f>
        <v>0</v>
      </c>
      <c r="H145" s="301">
        <f aca="true" t="shared" si="19" ref="H145:H152">F145*G145</f>
        <v>0</v>
      </c>
      <c r="I145" s="315"/>
      <c r="J145" s="301"/>
      <c r="K145" s="131">
        <f aca="true" t="shared" si="20" ref="K145:K152">H145+J145</f>
        <v>0</v>
      </c>
      <c r="L145" s="139"/>
      <c r="M145" s="139"/>
      <c r="O145" s="256"/>
      <c r="P145" s="315"/>
    </row>
    <row r="146" spans="1:16" ht="15.75">
      <c r="A146" s="91"/>
      <c r="B146" s="349"/>
      <c r="C146" s="501" t="s">
        <v>118</v>
      </c>
      <c r="D146" s="328" t="s">
        <v>111</v>
      </c>
      <c r="E146" s="305">
        <v>3</v>
      </c>
      <c r="F146" s="301">
        <f aca="true" t="shared" si="21" ref="F146:F152">$F$128*E146</f>
        <v>0</v>
      </c>
      <c r="G146" s="315">
        <f aca="true" t="shared" si="22" ref="G146:G152">O146/$K$4</f>
        <v>0</v>
      </c>
      <c r="H146" s="301">
        <f t="shared" si="19"/>
        <v>0</v>
      </c>
      <c r="I146" s="315"/>
      <c r="J146" s="301"/>
      <c r="K146" s="131">
        <f t="shared" si="20"/>
        <v>0</v>
      </c>
      <c r="L146" s="139"/>
      <c r="M146" s="139"/>
      <c r="O146" s="256"/>
      <c r="P146" s="315"/>
    </row>
    <row r="147" spans="1:16" ht="15.75">
      <c r="A147" s="406"/>
      <c r="B147" s="349"/>
      <c r="C147" s="501" t="s">
        <v>109</v>
      </c>
      <c r="D147" s="328" t="s">
        <v>111</v>
      </c>
      <c r="E147" s="305">
        <v>1</v>
      </c>
      <c r="F147" s="301">
        <f t="shared" si="21"/>
        <v>0</v>
      </c>
      <c r="G147" s="315">
        <f t="shared" si="22"/>
        <v>0</v>
      </c>
      <c r="H147" s="301">
        <f t="shared" si="19"/>
        <v>0</v>
      </c>
      <c r="I147" s="409"/>
      <c r="J147" s="301"/>
      <c r="K147" s="131">
        <f t="shared" si="20"/>
        <v>0</v>
      </c>
      <c r="L147" s="186"/>
      <c r="M147" s="186"/>
      <c r="O147" s="256"/>
      <c r="P147" s="315"/>
    </row>
    <row r="148" spans="1:16" ht="15.75">
      <c r="A148" s="91"/>
      <c r="B148" s="349"/>
      <c r="C148" s="501" t="s">
        <v>119</v>
      </c>
      <c r="D148" s="328" t="s">
        <v>73</v>
      </c>
      <c r="E148" s="305">
        <v>2.3</v>
      </c>
      <c r="F148" s="301">
        <f t="shared" si="21"/>
        <v>0</v>
      </c>
      <c r="G148" s="315">
        <f t="shared" si="22"/>
        <v>0</v>
      </c>
      <c r="H148" s="301">
        <f t="shared" si="19"/>
        <v>0</v>
      </c>
      <c r="I148" s="315"/>
      <c r="J148" s="301"/>
      <c r="K148" s="131">
        <f t="shared" si="20"/>
        <v>0</v>
      </c>
      <c r="L148" s="139"/>
      <c r="M148" s="139"/>
      <c r="O148" s="256"/>
      <c r="P148" s="315"/>
    </row>
    <row r="149" spans="1:16" ht="15.75">
      <c r="A149" s="91"/>
      <c r="B149" s="349"/>
      <c r="C149" s="501" t="s">
        <v>120</v>
      </c>
      <c r="D149" s="328" t="s">
        <v>73</v>
      </c>
      <c r="E149" s="305">
        <v>17</v>
      </c>
      <c r="F149" s="301">
        <f t="shared" si="21"/>
        <v>0</v>
      </c>
      <c r="G149" s="407">
        <f t="shared" si="22"/>
        <v>0</v>
      </c>
      <c r="H149" s="301">
        <f t="shared" si="19"/>
        <v>0</v>
      </c>
      <c r="I149" s="315"/>
      <c r="J149" s="301"/>
      <c r="K149" s="131">
        <f t="shared" si="20"/>
        <v>0</v>
      </c>
      <c r="L149" s="139"/>
      <c r="M149" s="139"/>
      <c r="O149" s="256"/>
      <c r="P149" s="315"/>
    </row>
    <row r="150" spans="1:16" ht="15.75">
      <c r="A150" s="91"/>
      <c r="B150" s="349"/>
      <c r="C150" s="501" t="s">
        <v>121</v>
      </c>
      <c r="D150" s="328" t="s">
        <v>73</v>
      </c>
      <c r="E150" s="305">
        <v>2.3</v>
      </c>
      <c r="F150" s="301">
        <f t="shared" si="21"/>
        <v>0</v>
      </c>
      <c r="G150" s="407">
        <f t="shared" si="22"/>
        <v>0</v>
      </c>
      <c r="H150" s="301">
        <f t="shared" si="19"/>
        <v>0</v>
      </c>
      <c r="I150" s="315"/>
      <c r="J150" s="301"/>
      <c r="K150" s="131">
        <f t="shared" si="20"/>
        <v>0</v>
      </c>
      <c r="L150" s="139"/>
      <c r="M150" s="139"/>
      <c r="O150" s="256"/>
      <c r="P150" s="315"/>
    </row>
    <row r="151" spans="1:16" ht="15.75">
      <c r="A151" s="405"/>
      <c r="B151" s="404"/>
      <c r="C151" s="501" t="s">
        <v>122</v>
      </c>
      <c r="D151" s="328" t="s">
        <v>73</v>
      </c>
      <c r="E151" s="615">
        <v>4.6</v>
      </c>
      <c r="F151" s="301">
        <f t="shared" si="21"/>
        <v>0</v>
      </c>
      <c r="G151" s="407">
        <f t="shared" si="22"/>
        <v>0</v>
      </c>
      <c r="H151" s="301">
        <f t="shared" si="19"/>
        <v>0</v>
      </c>
      <c r="I151" s="410"/>
      <c r="J151" s="408"/>
      <c r="K151" s="131">
        <f t="shared" si="20"/>
        <v>0</v>
      </c>
      <c r="L151" s="139"/>
      <c r="M151" s="139"/>
      <c r="O151" s="256"/>
      <c r="P151" s="410"/>
    </row>
    <row r="152" spans="1:16" ht="10.8" thickBot="1">
      <c r="A152" s="456"/>
      <c r="B152" s="351"/>
      <c r="C152" s="621" t="s">
        <v>115</v>
      </c>
      <c r="D152" s="265" t="s">
        <v>73</v>
      </c>
      <c r="E152" s="265">
        <v>1.6</v>
      </c>
      <c r="F152" s="301">
        <f t="shared" si="21"/>
        <v>0</v>
      </c>
      <c r="G152" s="411">
        <f t="shared" si="22"/>
        <v>0</v>
      </c>
      <c r="H152" s="314">
        <f t="shared" si="19"/>
        <v>0</v>
      </c>
      <c r="I152" s="316"/>
      <c r="J152" s="314"/>
      <c r="K152" s="132">
        <f t="shared" si="20"/>
        <v>0</v>
      </c>
      <c r="L152" s="140"/>
      <c r="M152" s="140"/>
      <c r="O152" s="256"/>
      <c r="P152" s="316"/>
    </row>
    <row r="153" spans="1:16" s="451" customFormat="1" ht="15.75">
      <c r="A153" s="445">
        <v>12</v>
      </c>
      <c r="B153" s="346"/>
      <c r="C153" s="616" t="s">
        <v>123</v>
      </c>
      <c r="D153" s="303" t="s">
        <v>107</v>
      </c>
      <c r="E153" s="303"/>
      <c r="F153" s="300">
        <f>SUM(F154:F169)</f>
        <v>216.00000000000006</v>
      </c>
      <c r="G153" s="343"/>
      <c r="H153" s="300"/>
      <c r="I153" s="343">
        <f>P153/$K$4</f>
        <v>0</v>
      </c>
      <c r="J153" s="300">
        <f>F153*I153</f>
        <v>0</v>
      </c>
      <c r="K153" s="130">
        <f>H153+J153</f>
        <v>0</v>
      </c>
      <c r="L153" s="137">
        <f>SUM(K153:K177)</f>
        <v>0</v>
      </c>
      <c r="M153" s="137">
        <f>L153/F153</f>
        <v>0</v>
      </c>
      <c r="O153" s="170"/>
      <c r="P153" s="272"/>
    </row>
    <row r="154" spans="1:16" s="451" customFormat="1" ht="15.75" outlineLevel="1">
      <c r="A154" s="90"/>
      <c r="B154" s="347"/>
      <c r="C154" s="522" t="str">
        <f aca="true" t="shared" si="23" ref="C154:C169">C61</f>
        <v>დონე +14.98 (+3 სართული)</v>
      </c>
      <c r="D154" s="96" t="s">
        <v>107</v>
      </c>
      <c r="E154" s="96"/>
      <c r="F154" s="308">
        <f aca="true" t="shared" si="24" ref="F154:F168">F33</f>
        <v>14.4</v>
      </c>
      <c r="G154" s="212"/>
      <c r="H154" s="294"/>
      <c r="I154" s="212"/>
      <c r="J154" s="294"/>
      <c r="K154" s="131"/>
      <c r="L154" s="138"/>
      <c r="M154" s="138"/>
      <c r="O154" s="179"/>
      <c r="P154" s="271"/>
    </row>
    <row r="155" spans="1:16" s="451" customFormat="1" ht="15.75" outlineLevel="1">
      <c r="A155" s="90"/>
      <c r="B155" s="347"/>
      <c r="C155" s="522" t="str">
        <f t="shared" si="23"/>
        <v>დონე +20.28 (+4 სართული)</v>
      </c>
      <c r="D155" s="96" t="s">
        <v>107</v>
      </c>
      <c r="E155" s="96"/>
      <c r="F155" s="308">
        <f t="shared" si="24"/>
        <v>14.4</v>
      </c>
      <c r="G155" s="212"/>
      <c r="H155" s="294"/>
      <c r="I155" s="212"/>
      <c r="J155" s="294"/>
      <c r="K155" s="131"/>
      <c r="L155" s="138"/>
      <c r="M155" s="138"/>
      <c r="O155" s="179"/>
      <c r="P155" s="271"/>
    </row>
    <row r="156" spans="1:16" s="451" customFormat="1" ht="15.75" outlineLevel="1">
      <c r="A156" s="90"/>
      <c r="B156" s="347"/>
      <c r="C156" s="522" t="str">
        <f t="shared" si="23"/>
        <v>დონე +23.88 (+5 სართული)</v>
      </c>
      <c r="D156" s="96" t="s">
        <v>107</v>
      </c>
      <c r="E156" s="96"/>
      <c r="F156" s="308">
        <f t="shared" si="24"/>
        <v>14.4</v>
      </c>
      <c r="G156" s="212"/>
      <c r="H156" s="294"/>
      <c r="I156" s="212"/>
      <c r="J156" s="294"/>
      <c r="K156" s="131"/>
      <c r="L156" s="138"/>
      <c r="M156" s="138"/>
      <c r="O156" s="179"/>
      <c r="P156" s="271"/>
    </row>
    <row r="157" spans="1:16" s="451" customFormat="1" ht="15.75" outlineLevel="1">
      <c r="A157" s="90"/>
      <c r="B157" s="347"/>
      <c r="C157" s="522" t="str">
        <f t="shared" si="23"/>
        <v>დონე +27.48 (+6 სართული)</v>
      </c>
      <c r="D157" s="96" t="s">
        <v>107</v>
      </c>
      <c r="E157" s="96"/>
      <c r="F157" s="308">
        <f t="shared" si="24"/>
        <v>14.4</v>
      </c>
      <c r="G157" s="212"/>
      <c r="H157" s="294"/>
      <c r="I157" s="212"/>
      <c r="J157" s="294"/>
      <c r="K157" s="131"/>
      <c r="L157" s="138"/>
      <c r="M157" s="138"/>
      <c r="O157" s="179"/>
      <c r="P157" s="271"/>
    </row>
    <row r="158" spans="1:16" s="451" customFormat="1" ht="15.75" outlineLevel="1">
      <c r="A158" s="90"/>
      <c r="B158" s="347"/>
      <c r="C158" s="522" t="str">
        <f t="shared" si="23"/>
        <v>დონე +31.08 (+7 სართული)</v>
      </c>
      <c r="D158" s="96" t="s">
        <v>107</v>
      </c>
      <c r="E158" s="96"/>
      <c r="F158" s="308">
        <f t="shared" si="24"/>
        <v>14.4</v>
      </c>
      <c r="G158" s="212"/>
      <c r="H158" s="294"/>
      <c r="I158" s="212"/>
      <c r="J158" s="294"/>
      <c r="K158" s="131"/>
      <c r="L158" s="138"/>
      <c r="M158" s="138"/>
      <c r="O158" s="179"/>
      <c r="P158" s="271"/>
    </row>
    <row r="159" spans="1:16" s="451" customFormat="1" ht="15.75" outlineLevel="1">
      <c r="A159" s="90"/>
      <c r="B159" s="347"/>
      <c r="C159" s="522" t="str">
        <f t="shared" si="23"/>
        <v>დონე +34.68 (+8 სართული)</v>
      </c>
      <c r="D159" s="96" t="s">
        <v>107</v>
      </c>
      <c r="E159" s="96"/>
      <c r="F159" s="308">
        <f t="shared" si="24"/>
        <v>14.4</v>
      </c>
      <c r="G159" s="212"/>
      <c r="H159" s="294"/>
      <c r="I159" s="212"/>
      <c r="J159" s="294"/>
      <c r="K159" s="131"/>
      <c r="L159" s="138"/>
      <c r="M159" s="138"/>
      <c r="O159" s="179"/>
      <c r="P159" s="271"/>
    </row>
    <row r="160" spans="1:16" s="451" customFormat="1" ht="15.75" outlineLevel="1">
      <c r="A160" s="90"/>
      <c r="B160" s="347"/>
      <c r="C160" s="522" t="str">
        <f t="shared" si="23"/>
        <v>დონე +38.28 (+9 სართული)</v>
      </c>
      <c r="D160" s="96" t="s">
        <v>107</v>
      </c>
      <c r="E160" s="96"/>
      <c r="F160" s="308">
        <f t="shared" si="24"/>
        <v>14.4</v>
      </c>
      <c r="G160" s="212"/>
      <c r="H160" s="294"/>
      <c r="I160" s="212"/>
      <c r="J160" s="294"/>
      <c r="K160" s="131"/>
      <c r="L160" s="138"/>
      <c r="M160" s="138"/>
      <c r="O160" s="179"/>
      <c r="P160" s="271"/>
    </row>
    <row r="161" spans="1:16" s="451" customFormat="1" ht="15.75" outlineLevel="1">
      <c r="A161" s="90"/>
      <c r="B161" s="347"/>
      <c r="C161" s="522" t="str">
        <f t="shared" si="23"/>
        <v>დონე +41.88 (+10 სართული)</v>
      </c>
      <c r="D161" s="96" t="s">
        <v>107</v>
      </c>
      <c r="E161" s="96"/>
      <c r="F161" s="308">
        <f t="shared" si="24"/>
        <v>14.4</v>
      </c>
      <c r="G161" s="212"/>
      <c r="H161" s="294"/>
      <c r="I161" s="212"/>
      <c r="J161" s="294"/>
      <c r="K161" s="131"/>
      <c r="L161" s="138"/>
      <c r="M161" s="138"/>
      <c r="O161" s="179"/>
      <c r="P161" s="271"/>
    </row>
    <row r="162" spans="1:16" s="451" customFormat="1" ht="15.75" outlineLevel="1">
      <c r="A162" s="90"/>
      <c r="B162" s="347"/>
      <c r="C162" s="522" t="str">
        <f t="shared" si="23"/>
        <v>დონე +45.48 (+11 სართული)</v>
      </c>
      <c r="D162" s="96" t="s">
        <v>107</v>
      </c>
      <c r="E162" s="96"/>
      <c r="F162" s="308">
        <f t="shared" si="24"/>
        <v>14.4</v>
      </c>
      <c r="G162" s="212"/>
      <c r="H162" s="294"/>
      <c r="I162" s="212"/>
      <c r="J162" s="294"/>
      <c r="K162" s="131"/>
      <c r="L162" s="138"/>
      <c r="M162" s="138"/>
      <c r="O162" s="179"/>
      <c r="P162" s="271"/>
    </row>
    <row r="163" spans="1:16" s="451" customFormat="1" ht="15.75" outlineLevel="1">
      <c r="A163" s="90"/>
      <c r="B163" s="347"/>
      <c r="C163" s="522" t="str">
        <f t="shared" si="23"/>
        <v>დონე +49.08 (+12 სართული)</v>
      </c>
      <c r="D163" s="96" t="s">
        <v>107</v>
      </c>
      <c r="E163" s="96"/>
      <c r="F163" s="308">
        <f t="shared" si="24"/>
        <v>14.4</v>
      </c>
      <c r="G163" s="212"/>
      <c r="H163" s="294"/>
      <c r="I163" s="212"/>
      <c r="J163" s="294"/>
      <c r="K163" s="131"/>
      <c r="L163" s="138"/>
      <c r="M163" s="138"/>
      <c r="O163" s="179"/>
      <c r="P163" s="271"/>
    </row>
    <row r="164" spans="1:16" s="451" customFormat="1" ht="15.75" outlineLevel="1">
      <c r="A164" s="90"/>
      <c r="B164" s="347"/>
      <c r="C164" s="522" t="str">
        <f t="shared" si="23"/>
        <v>დონე +52.68 (+13 სართული)</v>
      </c>
      <c r="D164" s="96" t="s">
        <v>107</v>
      </c>
      <c r="E164" s="96"/>
      <c r="F164" s="308">
        <f t="shared" si="24"/>
        <v>14.4</v>
      </c>
      <c r="G164" s="212"/>
      <c r="H164" s="294"/>
      <c r="I164" s="212"/>
      <c r="J164" s="294"/>
      <c r="K164" s="131"/>
      <c r="L164" s="138"/>
      <c r="M164" s="138"/>
      <c r="O164" s="179"/>
      <c r="P164" s="271"/>
    </row>
    <row r="165" spans="1:16" s="451" customFormat="1" ht="15.75" outlineLevel="1">
      <c r="A165" s="90"/>
      <c r="B165" s="347"/>
      <c r="C165" s="522" t="str">
        <f t="shared" si="23"/>
        <v>დონე +56.28 (+14 სართული)</v>
      </c>
      <c r="D165" s="96" t="s">
        <v>107</v>
      </c>
      <c r="E165" s="96"/>
      <c r="F165" s="308">
        <f t="shared" si="24"/>
        <v>14.4</v>
      </c>
      <c r="G165" s="212"/>
      <c r="H165" s="294"/>
      <c r="I165" s="212"/>
      <c r="J165" s="294"/>
      <c r="K165" s="131"/>
      <c r="L165" s="138"/>
      <c r="M165" s="138"/>
      <c r="O165" s="179"/>
      <c r="P165" s="271"/>
    </row>
    <row r="166" spans="1:16" s="451" customFormat="1" ht="15.75" outlineLevel="1">
      <c r="A166" s="90"/>
      <c r="B166" s="347"/>
      <c r="C166" s="522" t="str">
        <f t="shared" si="23"/>
        <v>დონე +59.88 (+15 სართული)</v>
      </c>
      <c r="D166" s="96" t="s">
        <v>107</v>
      </c>
      <c r="E166" s="96"/>
      <c r="F166" s="308">
        <f t="shared" si="24"/>
        <v>14.4</v>
      </c>
      <c r="G166" s="212"/>
      <c r="H166" s="294"/>
      <c r="I166" s="212"/>
      <c r="J166" s="294"/>
      <c r="K166" s="131"/>
      <c r="L166" s="138"/>
      <c r="M166" s="138"/>
      <c r="O166" s="179"/>
      <c r="P166" s="271"/>
    </row>
    <row r="167" spans="1:16" s="451" customFormat="1" ht="15.75" outlineLevel="1">
      <c r="A167" s="90"/>
      <c r="B167" s="347"/>
      <c r="C167" s="522" t="str">
        <f t="shared" si="23"/>
        <v>დონე +63.48 (+16 სართული)</v>
      </c>
      <c r="D167" s="96" t="s">
        <v>107</v>
      </c>
      <c r="E167" s="96"/>
      <c r="F167" s="308">
        <f t="shared" si="24"/>
        <v>14.4</v>
      </c>
      <c r="G167" s="212"/>
      <c r="H167" s="294"/>
      <c r="I167" s="212"/>
      <c r="J167" s="294"/>
      <c r="K167" s="131"/>
      <c r="L167" s="138"/>
      <c r="M167" s="138"/>
      <c r="O167" s="179"/>
      <c r="P167" s="271"/>
    </row>
    <row r="168" spans="1:16" s="451" customFormat="1" ht="15.75" outlineLevel="1">
      <c r="A168" s="90"/>
      <c r="B168" s="347"/>
      <c r="C168" s="522" t="str">
        <f t="shared" si="23"/>
        <v>დონე +67.08 (+17 სართული)</v>
      </c>
      <c r="D168" s="96" t="s">
        <v>107</v>
      </c>
      <c r="E168" s="96"/>
      <c r="F168" s="308">
        <f t="shared" si="24"/>
        <v>14.4</v>
      </c>
      <c r="G168" s="212"/>
      <c r="H168" s="294"/>
      <c r="I168" s="212"/>
      <c r="J168" s="294"/>
      <c r="K168" s="131"/>
      <c r="L168" s="138"/>
      <c r="M168" s="138"/>
      <c r="O168" s="179"/>
      <c r="P168" s="271"/>
    </row>
    <row r="169" spans="1:16" s="451" customFormat="1" ht="15.75" outlineLevel="1">
      <c r="A169" s="90"/>
      <c r="B169" s="347"/>
      <c r="C169" s="522" t="str">
        <f t="shared" si="23"/>
        <v>დონე +70.68 (+18 სართული)</v>
      </c>
      <c r="D169" s="96" t="s">
        <v>107</v>
      </c>
      <c r="E169" s="96"/>
      <c r="F169" s="308"/>
      <c r="G169" s="212"/>
      <c r="H169" s="294"/>
      <c r="I169" s="212"/>
      <c r="J169" s="294"/>
      <c r="K169" s="131"/>
      <c r="L169" s="138"/>
      <c r="M169" s="138"/>
      <c r="O169" s="179"/>
      <c r="P169" s="271"/>
    </row>
    <row r="170" spans="1:16" ht="15.75">
      <c r="A170" s="91"/>
      <c r="B170" s="349"/>
      <c r="C170" s="501" t="s">
        <v>117</v>
      </c>
      <c r="D170" s="328" t="s">
        <v>107</v>
      </c>
      <c r="E170" s="305">
        <v>1.1</v>
      </c>
      <c r="F170" s="301">
        <f>$F$153*E170</f>
        <v>237.60000000000008</v>
      </c>
      <c r="G170" s="315">
        <f>O170/$K$4</f>
        <v>0</v>
      </c>
      <c r="H170" s="301">
        <f aca="true" t="shared" si="25" ref="H170:H177">F170*G170</f>
        <v>0</v>
      </c>
      <c r="I170" s="315"/>
      <c r="J170" s="301"/>
      <c r="K170" s="131">
        <f aca="true" t="shared" si="26" ref="K170:K177">H170+J170</f>
        <v>0</v>
      </c>
      <c r="L170" s="139"/>
      <c r="M170" s="139"/>
      <c r="O170" s="256"/>
      <c r="P170" s="315"/>
    </row>
    <row r="171" spans="1:16" ht="15.75">
      <c r="A171" s="91"/>
      <c r="B171" s="349"/>
      <c r="C171" s="501" t="s">
        <v>118</v>
      </c>
      <c r="D171" s="328" t="s">
        <v>111</v>
      </c>
      <c r="E171" s="305">
        <v>3</v>
      </c>
      <c r="F171" s="301">
        <f aca="true" t="shared" si="27" ref="F171:F177">$F$153*E171</f>
        <v>648.0000000000002</v>
      </c>
      <c r="G171" s="315">
        <f aca="true" t="shared" si="28" ref="G171:G177">O171/$K$4</f>
        <v>0</v>
      </c>
      <c r="H171" s="301">
        <f t="shared" si="25"/>
        <v>0</v>
      </c>
      <c r="I171" s="315"/>
      <c r="J171" s="301"/>
      <c r="K171" s="131">
        <f t="shared" si="26"/>
        <v>0</v>
      </c>
      <c r="L171" s="139"/>
      <c r="M171" s="139"/>
      <c r="O171" s="256"/>
      <c r="P171" s="315"/>
    </row>
    <row r="172" spans="1:16" ht="15.75">
      <c r="A172" s="406"/>
      <c r="B172" s="349"/>
      <c r="C172" s="501" t="s">
        <v>109</v>
      </c>
      <c r="D172" s="328" t="s">
        <v>111</v>
      </c>
      <c r="E172" s="305">
        <v>1</v>
      </c>
      <c r="F172" s="301">
        <f t="shared" si="27"/>
        <v>216.00000000000006</v>
      </c>
      <c r="G172" s="315">
        <f t="shared" si="28"/>
        <v>0</v>
      </c>
      <c r="H172" s="301">
        <f t="shared" si="25"/>
        <v>0</v>
      </c>
      <c r="I172" s="409"/>
      <c r="J172" s="301"/>
      <c r="K172" s="131">
        <f t="shared" si="26"/>
        <v>0</v>
      </c>
      <c r="L172" s="186"/>
      <c r="M172" s="186"/>
      <c r="O172" s="256"/>
      <c r="P172" s="315"/>
    </row>
    <row r="173" spans="1:16" ht="15.75">
      <c r="A173" s="91"/>
      <c r="B173" s="349"/>
      <c r="C173" s="501" t="s">
        <v>119</v>
      </c>
      <c r="D173" s="328" t="s">
        <v>73</v>
      </c>
      <c r="E173" s="305">
        <v>2.3</v>
      </c>
      <c r="F173" s="301">
        <f t="shared" si="27"/>
        <v>496.80000000000007</v>
      </c>
      <c r="G173" s="315">
        <f t="shared" si="28"/>
        <v>0</v>
      </c>
      <c r="H173" s="301">
        <f t="shared" si="25"/>
        <v>0</v>
      </c>
      <c r="I173" s="315"/>
      <c r="J173" s="301"/>
      <c r="K173" s="131">
        <f t="shared" si="26"/>
        <v>0</v>
      </c>
      <c r="L173" s="139"/>
      <c r="M173" s="139"/>
      <c r="O173" s="256"/>
      <c r="P173" s="315"/>
    </row>
    <row r="174" spans="1:16" ht="15.75">
      <c r="A174" s="91"/>
      <c r="B174" s="349"/>
      <c r="C174" s="501" t="s">
        <v>120</v>
      </c>
      <c r="D174" s="328" t="s">
        <v>73</v>
      </c>
      <c r="E174" s="305">
        <v>17</v>
      </c>
      <c r="F174" s="301">
        <f t="shared" si="27"/>
        <v>3672.000000000001</v>
      </c>
      <c r="G174" s="407">
        <f t="shared" si="28"/>
        <v>0</v>
      </c>
      <c r="H174" s="301">
        <f t="shared" si="25"/>
        <v>0</v>
      </c>
      <c r="I174" s="315"/>
      <c r="J174" s="301"/>
      <c r="K174" s="131">
        <f t="shared" si="26"/>
        <v>0</v>
      </c>
      <c r="L174" s="139"/>
      <c r="M174" s="139"/>
      <c r="O174" s="256"/>
      <c r="P174" s="315"/>
    </row>
    <row r="175" spans="1:16" ht="15.75">
      <c r="A175" s="91"/>
      <c r="B175" s="349"/>
      <c r="C175" s="501" t="s">
        <v>121</v>
      </c>
      <c r="D175" s="328" t="s">
        <v>73</v>
      </c>
      <c r="E175" s="305">
        <v>2.3</v>
      </c>
      <c r="F175" s="301">
        <f t="shared" si="27"/>
        <v>496.80000000000007</v>
      </c>
      <c r="G175" s="407">
        <f t="shared" si="28"/>
        <v>0</v>
      </c>
      <c r="H175" s="301">
        <f t="shared" si="25"/>
        <v>0</v>
      </c>
      <c r="I175" s="315"/>
      <c r="J175" s="301"/>
      <c r="K175" s="131">
        <f t="shared" si="26"/>
        <v>0</v>
      </c>
      <c r="L175" s="139"/>
      <c r="M175" s="139"/>
      <c r="O175" s="256"/>
      <c r="P175" s="315"/>
    </row>
    <row r="176" spans="1:16" ht="15.75">
      <c r="A176" s="405"/>
      <c r="B176" s="404"/>
      <c r="C176" s="501" t="s">
        <v>122</v>
      </c>
      <c r="D176" s="328" t="s">
        <v>73</v>
      </c>
      <c r="E176" s="615">
        <v>4.6</v>
      </c>
      <c r="F176" s="301">
        <f t="shared" si="27"/>
        <v>993.6000000000001</v>
      </c>
      <c r="G176" s="407">
        <f t="shared" si="28"/>
        <v>0</v>
      </c>
      <c r="H176" s="301">
        <f t="shared" si="25"/>
        <v>0</v>
      </c>
      <c r="I176" s="410"/>
      <c r="J176" s="408"/>
      <c r="K176" s="131">
        <f t="shared" si="26"/>
        <v>0</v>
      </c>
      <c r="L176" s="139"/>
      <c r="M176" s="139"/>
      <c r="O176" s="256"/>
      <c r="P176" s="410"/>
    </row>
    <row r="177" spans="1:16" ht="10.8" thickBot="1">
      <c r="A177" s="456"/>
      <c r="B177" s="351"/>
      <c r="C177" s="621" t="s">
        <v>115</v>
      </c>
      <c r="D177" s="265" t="s">
        <v>73</v>
      </c>
      <c r="E177" s="265">
        <v>1.6</v>
      </c>
      <c r="F177" s="301">
        <f t="shared" si="27"/>
        <v>345.60000000000014</v>
      </c>
      <c r="G177" s="411">
        <f t="shared" si="28"/>
        <v>0</v>
      </c>
      <c r="H177" s="314">
        <f t="shared" si="25"/>
        <v>0</v>
      </c>
      <c r="I177" s="316"/>
      <c r="J177" s="314"/>
      <c r="K177" s="132">
        <f t="shared" si="26"/>
        <v>0</v>
      </c>
      <c r="L177" s="140"/>
      <c r="M177" s="140"/>
      <c r="O177" s="256"/>
      <c r="P177" s="316"/>
    </row>
    <row r="178" spans="1:16" ht="10.8" thickBot="1">
      <c r="A178" s="288"/>
      <c r="B178" s="288"/>
      <c r="C178" s="288"/>
      <c r="D178" s="286"/>
      <c r="E178" s="51"/>
      <c r="F178" s="53"/>
      <c r="G178" s="112"/>
      <c r="H178" s="53"/>
      <c r="I178" s="365"/>
      <c r="J178" s="54"/>
      <c r="K178" s="129"/>
      <c r="L178" s="129"/>
      <c r="M178" s="129"/>
      <c r="O178" s="177"/>
      <c r="P178" s="112"/>
    </row>
    <row r="179" spans="1:16" s="12" customFormat="1" ht="10.8" thickBot="1">
      <c r="A179" s="6"/>
      <c r="B179" s="6"/>
      <c r="C179" s="6"/>
      <c r="D179" s="6"/>
      <c r="E179" s="6"/>
      <c r="F179" s="203"/>
      <c r="G179" s="115"/>
      <c r="H179" s="84">
        <f>SUM(H12:H177)</f>
        <v>0</v>
      </c>
      <c r="I179" s="125"/>
      <c r="J179" s="84">
        <f>SUM(J12:J177)</f>
        <v>0</v>
      </c>
      <c r="K179" s="133"/>
      <c r="L179" s="134"/>
      <c r="M179" s="134"/>
      <c r="O179" s="182"/>
      <c r="P179" s="124"/>
    </row>
    <row r="180" spans="1:16" s="12" customFormat="1" ht="10.8" thickBot="1">
      <c r="A180" s="6"/>
      <c r="B180" s="6"/>
      <c r="C180" s="6"/>
      <c r="D180" s="6"/>
      <c r="E180" s="6"/>
      <c r="F180" s="444"/>
      <c r="G180" s="116"/>
      <c r="H180" s="82" t="s">
        <v>67</v>
      </c>
      <c r="I180" s="225">
        <v>0.02</v>
      </c>
      <c r="J180" s="20"/>
      <c r="K180" s="98">
        <f>I180*H179</f>
        <v>0</v>
      </c>
      <c r="L180" s="134"/>
      <c r="M180" s="134"/>
      <c r="O180" s="182"/>
      <c r="P180" s="124"/>
    </row>
    <row r="181" spans="1:16" s="12" customFormat="1" ht="10.8" thickBot="1">
      <c r="A181" s="6"/>
      <c r="B181" s="6"/>
      <c r="C181" s="6"/>
      <c r="D181" s="6"/>
      <c r="E181" s="6"/>
      <c r="F181" s="444"/>
      <c r="G181" s="117"/>
      <c r="H181" s="31"/>
      <c r="I181" s="226"/>
      <c r="J181" s="31"/>
      <c r="K181" s="99"/>
      <c r="L181" s="134"/>
      <c r="M181" s="134"/>
      <c r="O181" s="182"/>
      <c r="P181" s="124"/>
    </row>
    <row r="182" spans="1:16" s="12" customFormat="1" ht="10.8" thickBot="1">
      <c r="A182" s="6"/>
      <c r="B182" s="6"/>
      <c r="C182" s="1"/>
      <c r="D182" s="565"/>
      <c r="E182" s="1"/>
      <c r="F182" s="451"/>
      <c r="G182" s="116"/>
      <c r="H182" s="625" t="s">
        <v>56</v>
      </c>
      <c r="I182" s="225"/>
      <c r="J182" s="20"/>
      <c r="K182" s="98">
        <f>SUM(K12:K180)</f>
        <v>0</v>
      </c>
      <c r="L182" s="142"/>
      <c r="M182" s="142"/>
      <c r="O182" s="182"/>
      <c r="P182" s="124"/>
    </row>
    <row r="183" spans="1:16" s="12" customFormat="1" ht="16.2" thickBot="1">
      <c r="A183" s="6"/>
      <c r="B183" s="6"/>
      <c r="C183" s="169"/>
      <c r="D183" s="169"/>
      <c r="E183" s="1"/>
      <c r="F183" s="451"/>
      <c r="G183" s="118"/>
      <c r="H183" s="34"/>
      <c r="I183" s="227"/>
      <c r="J183" s="34"/>
      <c r="K183" s="100"/>
      <c r="L183" s="142"/>
      <c r="M183" s="142"/>
      <c r="O183" s="182"/>
      <c r="P183" s="124"/>
    </row>
    <row r="184" spans="2:16" s="12" customFormat="1" ht="15.6">
      <c r="B184" s="85"/>
      <c r="C184" s="169"/>
      <c r="D184" s="169"/>
      <c r="F184" s="13"/>
      <c r="G184" s="119"/>
      <c r="H184" s="44" t="s">
        <v>68</v>
      </c>
      <c r="I184" s="228">
        <v>0.08</v>
      </c>
      <c r="J184" s="25"/>
      <c r="K184" s="101">
        <f>K182*I184</f>
        <v>0</v>
      </c>
      <c r="L184" s="142"/>
      <c r="M184" s="142"/>
      <c r="O184" s="182"/>
      <c r="P184" s="124"/>
    </row>
    <row r="185" spans="2:16" s="12" customFormat="1" ht="16.2" thickBot="1">
      <c r="B185" s="85"/>
      <c r="C185" s="169"/>
      <c r="D185" s="169"/>
      <c r="F185" s="13"/>
      <c r="G185" s="120"/>
      <c r="H185" s="42" t="s">
        <v>56</v>
      </c>
      <c r="I185" s="229"/>
      <c r="J185" s="43"/>
      <c r="K185" s="102">
        <f>K182+K184</f>
        <v>0</v>
      </c>
      <c r="L185" s="142"/>
      <c r="M185" s="142"/>
      <c r="O185" s="182"/>
      <c r="P185" s="124"/>
    </row>
    <row r="186" spans="2:16" s="12" customFormat="1" ht="16.2" thickBot="1">
      <c r="B186" s="85"/>
      <c r="C186" s="169"/>
      <c r="D186" s="169"/>
      <c r="F186" s="13"/>
      <c r="G186" s="121"/>
      <c r="H186" s="37"/>
      <c r="I186" s="230"/>
      <c r="J186" s="39"/>
      <c r="K186" s="103"/>
      <c r="L186" s="142"/>
      <c r="M186" s="142"/>
      <c r="O186" s="182"/>
      <c r="P186" s="124"/>
    </row>
    <row r="187" spans="2:16" s="12" customFormat="1" ht="15.75">
      <c r="B187" s="85"/>
      <c r="C187" s="8"/>
      <c r="F187" s="13"/>
      <c r="G187" s="122"/>
      <c r="H187" s="44" t="s">
        <v>69</v>
      </c>
      <c r="I187" s="228">
        <v>0.08</v>
      </c>
      <c r="J187" s="25"/>
      <c r="K187" s="101">
        <f>K185*I187</f>
        <v>0</v>
      </c>
      <c r="L187" s="142"/>
      <c r="M187" s="142"/>
      <c r="O187" s="182"/>
      <c r="P187" s="124"/>
    </row>
    <row r="188" spans="2:16" s="12" customFormat="1" ht="10.8" thickBot="1">
      <c r="B188" s="85"/>
      <c r="C188" s="8"/>
      <c r="F188" s="13"/>
      <c r="G188" s="120"/>
      <c r="H188" s="42" t="s">
        <v>56</v>
      </c>
      <c r="I188" s="229"/>
      <c r="J188" s="43"/>
      <c r="K188" s="102">
        <f>K185+K187</f>
        <v>0</v>
      </c>
      <c r="L188" s="142"/>
      <c r="M188" s="142"/>
      <c r="O188" s="182"/>
      <c r="P188" s="124"/>
    </row>
    <row r="189" spans="2:16" s="12" customFormat="1" ht="10.8" thickBot="1">
      <c r="B189" s="85"/>
      <c r="C189" s="8"/>
      <c r="F189" s="13"/>
      <c r="G189" s="121"/>
      <c r="H189" s="37"/>
      <c r="I189" s="230"/>
      <c r="J189" s="39"/>
      <c r="K189" s="103"/>
      <c r="L189" s="142"/>
      <c r="M189" s="142"/>
      <c r="O189" s="182"/>
      <c r="P189" s="124"/>
    </row>
    <row r="190" spans="2:16" s="12" customFormat="1" ht="15.75">
      <c r="B190" s="85"/>
      <c r="C190" s="8"/>
      <c r="F190" s="13"/>
      <c r="G190" s="122"/>
      <c r="H190" s="44" t="s">
        <v>70</v>
      </c>
      <c r="I190" s="228">
        <v>0</v>
      </c>
      <c r="J190" s="25"/>
      <c r="K190" s="101">
        <f>K188*I190</f>
        <v>0</v>
      </c>
      <c r="L190" s="142"/>
      <c r="M190" s="142"/>
      <c r="O190" s="182"/>
      <c r="P190" s="124"/>
    </row>
    <row r="191" spans="1:16" s="8" customFormat="1" ht="10.8" thickBot="1">
      <c r="A191" s="12"/>
      <c r="B191" s="85"/>
      <c r="D191" s="12"/>
      <c r="E191" s="12"/>
      <c r="F191" s="13"/>
      <c r="G191" s="120"/>
      <c r="H191" s="42" t="s">
        <v>56</v>
      </c>
      <c r="I191" s="229"/>
      <c r="J191" s="43"/>
      <c r="K191" s="102">
        <f>K188+K190</f>
        <v>0</v>
      </c>
      <c r="L191" s="143"/>
      <c r="M191" s="143"/>
      <c r="O191" s="182"/>
      <c r="P191" s="124"/>
    </row>
    <row r="192" spans="1:16" s="8" customFormat="1" ht="10.8" thickBot="1">
      <c r="A192" s="12"/>
      <c r="B192" s="85"/>
      <c r="D192" s="12"/>
      <c r="E192" s="12"/>
      <c r="F192" s="13"/>
      <c r="G192" s="121"/>
      <c r="H192" s="37"/>
      <c r="I192" s="230"/>
      <c r="J192" s="39"/>
      <c r="K192" s="103"/>
      <c r="L192" s="143"/>
      <c r="M192" s="143"/>
      <c r="O192" s="182"/>
      <c r="P192" s="124"/>
    </row>
    <row r="193" spans="1:16" ht="15.75">
      <c r="A193" s="12"/>
      <c r="B193" s="85"/>
      <c r="C193" s="8"/>
      <c r="D193" s="12"/>
      <c r="E193" s="12"/>
      <c r="F193" s="13"/>
      <c r="G193" s="122"/>
      <c r="H193" s="23" t="s">
        <v>71</v>
      </c>
      <c r="I193" s="228">
        <v>0.18</v>
      </c>
      <c r="J193" s="25"/>
      <c r="K193" s="104">
        <f>K191*I193</f>
        <v>0</v>
      </c>
      <c r="L193" s="144"/>
      <c r="M193" s="144"/>
      <c r="O193" s="182"/>
      <c r="P193" s="124"/>
    </row>
    <row r="194" spans="1:16" ht="10.8" thickBot="1">
      <c r="A194" s="12"/>
      <c r="B194" s="85"/>
      <c r="C194" s="8"/>
      <c r="D194" s="12"/>
      <c r="E194" s="12"/>
      <c r="F194" s="13"/>
      <c r="G194" s="120"/>
      <c r="H194" s="17" t="s">
        <v>56</v>
      </c>
      <c r="I194" s="106" t="s">
        <v>12</v>
      </c>
      <c r="J194" s="18"/>
      <c r="K194" s="105">
        <f>K191+K193</f>
        <v>0</v>
      </c>
      <c r="L194" s="144"/>
      <c r="M194" s="144"/>
      <c r="O194" s="182"/>
      <c r="P194" s="124"/>
    </row>
    <row r="195" spans="1:16" ht="15.75">
      <c r="A195" s="12"/>
      <c r="B195" s="85"/>
      <c r="C195" s="8"/>
      <c r="D195" s="12"/>
      <c r="E195" s="12"/>
      <c r="F195" s="13"/>
      <c r="G195" s="123"/>
      <c r="H195" s="13"/>
      <c r="I195" s="123"/>
      <c r="J195" s="13"/>
      <c r="K195" s="134"/>
      <c r="L195" s="145"/>
      <c r="M195" s="145"/>
      <c r="O195" s="182"/>
      <c r="P195" s="124"/>
    </row>
    <row r="196" spans="1:16" ht="15.75">
      <c r="A196" s="8"/>
      <c r="B196" s="86"/>
      <c r="C196" s="8"/>
      <c r="D196" s="15"/>
      <c r="E196" s="8"/>
      <c r="F196" s="9"/>
      <c r="G196" s="124"/>
      <c r="H196" s="9"/>
      <c r="I196" s="124"/>
      <c r="J196" s="9"/>
      <c r="K196" s="127"/>
      <c r="L196" s="68"/>
      <c r="M196" s="68"/>
      <c r="O196" s="182"/>
      <c r="P196" s="124"/>
    </row>
  </sheetData>
  <mergeCells count="18">
    <mergeCell ref="P7:P8"/>
    <mergeCell ref="A59:M59"/>
    <mergeCell ref="C1:E1"/>
    <mergeCell ref="A2:C2"/>
    <mergeCell ref="I2:K2"/>
    <mergeCell ref="A3:B3"/>
    <mergeCell ref="A7:A8"/>
    <mergeCell ref="B7:B8"/>
    <mergeCell ref="D7:D8"/>
    <mergeCell ref="E7:F7"/>
    <mergeCell ref="G7:H7"/>
    <mergeCell ref="I7:J7"/>
    <mergeCell ref="A127:M127"/>
    <mergeCell ref="K7:K8"/>
    <mergeCell ref="L7:L8"/>
    <mergeCell ref="M7:M8"/>
    <mergeCell ref="O7:O8"/>
    <mergeCell ref="A11:M11"/>
  </mergeCells>
  <printOptions/>
  <pageMargins left="0.35000000000000003" right="0.7500000000000001" top="1" bottom="1.18" header="0.5" footer="0.5"/>
  <pageSetup fitToHeight="1" fitToWidth="1" horizontalDpi="600" verticalDpi="600" orientation="portrait" paperSize="9" scale="14" r:id="rId1"/>
  <headerFooter>
    <oddHeader>&amp;L&amp;16M/2&amp;12 Nutsubidze Project &amp;C&amp;"-,Bold"&amp;18&amp;UBoQ - Shell &amp; Core Works</oddHeader>
    <oddFooter>&amp;L&amp;"-,Bold"&amp;8&amp;K00-048For any queries with regards to BoQ please contact at:    cmc@cmconsulting.ge&amp;"-,Regular"&amp;12&amp;K01+000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2"/>
  <sheetViews>
    <sheetView showGridLines="0" workbookViewId="0" topLeftCell="A35">
      <selection activeCell="H25" sqref="H25"/>
    </sheetView>
  </sheetViews>
  <sheetFormatPr defaultColWidth="11.00390625" defaultRowHeight="15.75" outlineLevelRow="1"/>
  <cols>
    <col min="1" max="1" width="2.75390625" style="0" customWidth="1"/>
    <col min="2" max="2" width="7.125" style="0" customWidth="1"/>
    <col min="3" max="3" width="34.50390625" style="0" customWidth="1"/>
    <col min="4" max="4" width="6.50390625" style="0" customWidth="1"/>
    <col min="5" max="6" width="10.375" style="0" customWidth="1"/>
    <col min="7" max="7" width="9.625" style="0" customWidth="1"/>
    <col min="8" max="8" width="10.625" style="0" customWidth="1"/>
    <col min="9" max="11" width="16.00390625" style="0" customWidth="1"/>
    <col min="14" max="14" width="7.50390625" style="0" customWidth="1"/>
    <col min="15" max="15" width="9.00390625" style="0" customWidth="1"/>
    <col min="16" max="16" width="8.375" style="0" customWidth="1"/>
  </cols>
  <sheetData>
    <row r="1" spans="1:13" s="6" customFormat="1" ht="18" thickBot="1">
      <c r="A1" s="69"/>
      <c r="B1" s="60"/>
      <c r="C1" s="817" t="str">
        <f>TOTAL!A2</f>
        <v>სითი მოლი საბურთალო</v>
      </c>
      <c r="D1" s="817"/>
      <c r="E1" s="817"/>
      <c r="F1" s="5"/>
      <c r="G1" s="1"/>
      <c r="H1" s="5"/>
      <c r="I1" s="1"/>
      <c r="J1" s="5"/>
      <c r="K1" s="1"/>
      <c r="L1" s="5"/>
      <c r="M1" s="5"/>
    </row>
    <row r="2" spans="1:11" s="6" customFormat="1" ht="16.2" thickBot="1">
      <c r="A2" s="855" t="s">
        <v>140</v>
      </c>
      <c r="B2" s="855"/>
      <c r="C2" s="856"/>
      <c r="D2" s="65"/>
      <c r="E2" s="1"/>
      <c r="F2" s="5"/>
      <c r="G2" s="1"/>
      <c r="H2" s="5"/>
      <c r="I2" s="857" t="s">
        <v>10</v>
      </c>
      <c r="J2" s="857"/>
      <c r="K2" s="857"/>
    </row>
    <row r="3" spans="1:11" s="6" customFormat="1" ht="16.2" thickBot="1">
      <c r="A3" s="841"/>
      <c r="B3" s="841"/>
      <c r="C3" s="45"/>
      <c r="E3" s="45"/>
      <c r="F3" s="45"/>
      <c r="G3" s="45"/>
      <c r="H3" s="45"/>
      <c r="I3" s="298" t="s">
        <v>12</v>
      </c>
      <c r="J3" s="298" t="s">
        <v>11</v>
      </c>
      <c r="K3" s="510" t="s">
        <v>13</v>
      </c>
    </row>
    <row r="4" spans="1:11" s="6" customFormat="1" ht="16.2" thickBot="1">
      <c r="A4" s="69"/>
      <c r="B4" s="60"/>
      <c r="C4" s="858"/>
      <c r="D4" s="859"/>
      <c r="E4" s="859"/>
      <c r="F4" s="859"/>
      <c r="G4" s="46"/>
      <c r="H4" s="46"/>
      <c r="I4" s="511">
        <f>K53</f>
        <v>0</v>
      </c>
      <c r="J4" s="512">
        <f>I4*K4</f>
        <v>0</v>
      </c>
      <c r="K4" s="513">
        <f>TOTAL!C24</f>
        <v>2.45</v>
      </c>
    </row>
    <row r="5" spans="1:11" s="6" customFormat="1" ht="10.2">
      <c r="A5" s="69"/>
      <c r="B5" s="60"/>
      <c r="C5" s="1"/>
      <c r="D5" s="47"/>
      <c r="E5" s="46"/>
      <c r="F5" s="46"/>
      <c r="G5" s="46"/>
      <c r="H5" s="46"/>
      <c r="I5" s="67"/>
      <c r="J5" s="68"/>
      <c r="K5" s="66"/>
    </row>
    <row r="6" spans="1:13" s="6" customFormat="1" ht="10.8" thickBot="1">
      <c r="A6" s="69"/>
      <c r="B6" s="60"/>
      <c r="C6" s="1"/>
      <c r="D6" s="65"/>
      <c r="E6" s="65"/>
      <c r="F6" s="3"/>
      <c r="G6" s="65"/>
      <c r="H6" s="3"/>
      <c r="I6" s="65"/>
      <c r="J6" s="5"/>
      <c r="K6" s="8"/>
      <c r="L6" s="9"/>
      <c r="M6" s="9"/>
    </row>
    <row r="7" spans="1:16" s="6" customFormat="1" ht="17.25" customHeight="1" thickBot="1">
      <c r="A7" s="842" t="s">
        <v>0</v>
      </c>
      <c r="B7" s="844" t="s">
        <v>61</v>
      </c>
      <c r="C7" s="321" t="s">
        <v>52</v>
      </c>
      <c r="D7" s="846" t="s">
        <v>53</v>
      </c>
      <c r="E7" s="838" t="s">
        <v>50</v>
      </c>
      <c r="F7" s="840"/>
      <c r="G7" s="838" t="s">
        <v>54</v>
      </c>
      <c r="H7" s="840"/>
      <c r="I7" s="838" t="s">
        <v>55</v>
      </c>
      <c r="J7" s="840"/>
      <c r="K7" s="830" t="s">
        <v>56</v>
      </c>
      <c r="L7" s="830" t="s">
        <v>57</v>
      </c>
      <c r="M7" s="830" t="s">
        <v>58</v>
      </c>
      <c r="O7" s="832" t="s">
        <v>148</v>
      </c>
      <c r="P7" s="834" t="s">
        <v>149</v>
      </c>
    </row>
    <row r="8" spans="1:16" s="6" customFormat="1" ht="10.8" thickBot="1">
      <c r="A8" s="843"/>
      <c r="B8" s="845"/>
      <c r="C8" s="282"/>
      <c r="D8" s="847"/>
      <c r="E8" s="281" t="s">
        <v>59</v>
      </c>
      <c r="F8" s="282" t="s">
        <v>56</v>
      </c>
      <c r="G8" s="570" t="s">
        <v>60</v>
      </c>
      <c r="H8" s="282" t="s">
        <v>56</v>
      </c>
      <c r="I8" s="364" t="s">
        <v>60</v>
      </c>
      <c r="J8" s="282" t="s">
        <v>56</v>
      </c>
      <c r="K8" s="831"/>
      <c r="L8" s="831"/>
      <c r="M8" s="831"/>
      <c r="O8" s="853"/>
      <c r="P8" s="854"/>
    </row>
    <row r="9" spans="1:17" s="6" customFormat="1" ht="10.8" thickBot="1">
      <c r="A9" s="322" t="s">
        <v>1</v>
      </c>
      <c r="B9" s="332">
        <v>2</v>
      </c>
      <c r="C9" s="280" t="s">
        <v>2</v>
      </c>
      <c r="D9" s="280" t="s">
        <v>3</v>
      </c>
      <c r="E9" s="287" t="s">
        <v>14</v>
      </c>
      <c r="F9" s="280" t="s">
        <v>4</v>
      </c>
      <c r="G9" s="287">
        <v>7</v>
      </c>
      <c r="H9" s="280" t="s">
        <v>6</v>
      </c>
      <c r="I9" s="279">
        <v>9</v>
      </c>
      <c r="J9" s="279" t="s">
        <v>9</v>
      </c>
      <c r="K9" s="279" t="s">
        <v>9</v>
      </c>
      <c r="L9" s="279" t="s">
        <v>27</v>
      </c>
      <c r="M9" s="279" t="s">
        <v>25</v>
      </c>
      <c r="O9" s="318" t="s">
        <v>18</v>
      </c>
      <c r="P9" s="274" t="s">
        <v>26</v>
      </c>
      <c r="Q9" s="206"/>
    </row>
    <row r="10" spans="1:17" s="6" customFormat="1" ht="10.8" thickBot="1">
      <c r="A10" s="323"/>
      <c r="B10" s="377"/>
      <c r="C10" s="54"/>
      <c r="D10" s="286"/>
      <c r="E10" s="288"/>
      <c r="F10" s="54"/>
      <c r="G10" s="288"/>
      <c r="H10" s="54"/>
      <c r="I10" s="288"/>
      <c r="J10" s="54"/>
      <c r="K10" s="54"/>
      <c r="L10" s="54"/>
      <c r="M10" s="54"/>
      <c r="O10" s="378"/>
      <c r="P10" s="379"/>
      <c r="Q10" s="320"/>
    </row>
    <row r="11" spans="1:16" s="6" customFormat="1" ht="24" thickBot="1">
      <c r="A11" s="850" t="s">
        <v>34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206"/>
      <c r="O11" s="184"/>
      <c r="P11" s="184"/>
    </row>
    <row r="12" spans="1:16" s="5" customFormat="1" ht="10.2">
      <c r="A12" s="445">
        <v>1</v>
      </c>
      <c r="B12" s="346"/>
      <c r="C12" s="504" t="s">
        <v>106</v>
      </c>
      <c r="D12" s="303" t="s">
        <v>81</v>
      </c>
      <c r="E12" s="303"/>
      <c r="F12" s="503">
        <f>SUM(F13:F14)</f>
        <v>30526.7</v>
      </c>
      <c r="G12" s="505"/>
      <c r="H12" s="506"/>
      <c r="I12" s="340">
        <f>P12/K4</f>
        <v>0</v>
      </c>
      <c r="J12" s="507">
        <f>I12*F12</f>
        <v>0</v>
      </c>
      <c r="K12" s="508">
        <f>J12+H12</f>
        <v>0</v>
      </c>
      <c r="L12" s="422">
        <f>SUM(K12:K15)</f>
        <v>0</v>
      </c>
      <c r="M12" s="422">
        <f>L12/F12</f>
        <v>0</v>
      </c>
      <c r="O12" s="422"/>
      <c r="P12" s="240"/>
    </row>
    <row r="13" spans="1:16" s="451" customFormat="1" ht="10.2" outlineLevel="1">
      <c r="A13" s="90"/>
      <c r="B13" s="347"/>
      <c r="C13" s="345" t="str">
        <f>'3-თეთრი კარკასი-პარკინგი'!C24</f>
        <v>დონე-6.06 (-2 სართული)</v>
      </c>
      <c r="D13" s="308" t="s">
        <v>81</v>
      </c>
      <c r="E13" s="96"/>
      <c r="F13" s="308">
        <v>15331.2</v>
      </c>
      <c r="G13" s="212"/>
      <c r="H13" s="294"/>
      <c r="I13" s="212"/>
      <c r="J13" s="294"/>
      <c r="K13" s="498"/>
      <c r="L13" s="138"/>
      <c r="M13" s="138"/>
      <c r="O13" s="179"/>
      <c r="P13" s="271"/>
    </row>
    <row r="14" spans="1:16" s="451" customFormat="1" ht="10.2" outlineLevel="1">
      <c r="A14" s="90"/>
      <c r="B14" s="347"/>
      <c r="C14" s="345" t="str">
        <f>'3-თეთრი კარკასი-პარკინგი'!C25</f>
        <v>დონე -3.08 (-1 სართული)</v>
      </c>
      <c r="D14" s="308" t="s">
        <v>81</v>
      </c>
      <c r="E14" s="96"/>
      <c r="F14" s="308">
        <v>15195.5</v>
      </c>
      <c r="G14" s="212"/>
      <c r="H14" s="294"/>
      <c r="I14" s="212"/>
      <c r="J14" s="294"/>
      <c r="K14" s="498"/>
      <c r="L14" s="138"/>
      <c r="M14" s="138"/>
      <c r="O14" s="179"/>
      <c r="P14" s="271"/>
    </row>
    <row r="15" spans="1:16" s="5" customFormat="1" ht="10.8" thickBot="1">
      <c r="A15" s="91"/>
      <c r="B15" s="93"/>
      <c r="C15" s="218" t="s">
        <v>257</v>
      </c>
      <c r="D15" s="328" t="s">
        <v>75</v>
      </c>
      <c r="E15" s="624">
        <v>0.1</v>
      </c>
      <c r="F15" s="207">
        <f>$F$12*E15</f>
        <v>3052.67</v>
      </c>
      <c r="G15" s="559">
        <f>O15/$K$4</f>
        <v>0</v>
      </c>
      <c r="H15" s="208">
        <f>G15*F15</f>
        <v>0</v>
      </c>
      <c r="I15" s="213"/>
      <c r="J15" s="213"/>
      <c r="K15" s="223">
        <f>H15+J15</f>
        <v>0</v>
      </c>
      <c r="L15" s="418"/>
      <c r="M15" s="418"/>
      <c r="O15" s="241"/>
      <c r="P15" s="242"/>
    </row>
    <row r="16" spans="1:16" s="451" customFormat="1" ht="10.2">
      <c r="A16" s="445">
        <v>2</v>
      </c>
      <c r="B16" s="389"/>
      <c r="C16" s="352" t="s">
        <v>253</v>
      </c>
      <c r="D16" s="238" t="s">
        <v>17</v>
      </c>
      <c r="E16" s="396"/>
      <c r="F16" s="503">
        <f>SUM(F17:F18)</f>
        <v>30526.7</v>
      </c>
      <c r="G16" s="327"/>
      <c r="H16" s="325"/>
      <c r="I16" s="358">
        <f>P16/$K$4</f>
        <v>0</v>
      </c>
      <c r="J16" s="419">
        <f>I16*F16</f>
        <v>0</v>
      </c>
      <c r="K16" s="420">
        <f>J16+H16</f>
        <v>0</v>
      </c>
      <c r="L16" s="421">
        <f>SUM(K16:K20)</f>
        <v>0</v>
      </c>
      <c r="M16" s="421">
        <f>L16/F16</f>
        <v>0</v>
      </c>
      <c r="N16" s="97"/>
      <c r="O16" s="240"/>
      <c r="P16" s="276"/>
    </row>
    <row r="17" spans="1:16" s="451" customFormat="1" ht="10.2" outlineLevel="1">
      <c r="A17" s="90"/>
      <c r="B17" s="347"/>
      <c r="C17" s="345" t="str">
        <f>C13</f>
        <v>დონე-6.06 (-2 სართული)</v>
      </c>
      <c r="D17" s="308" t="s">
        <v>17</v>
      </c>
      <c r="E17" s="96"/>
      <c r="F17" s="308">
        <f>F13</f>
        <v>15331.2</v>
      </c>
      <c r="G17" s="212"/>
      <c r="H17" s="294"/>
      <c r="I17" s="212"/>
      <c r="J17" s="294"/>
      <c r="K17" s="498"/>
      <c r="L17" s="138"/>
      <c r="M17" s="138"/>
      <c r="O17" s="179"/>
      <c r="P17" s="271"/>
    </row>
    <row r="18" spans="1:16" s="451" customFormat="1" ht="10.2" outlineLevel="1">
      <c r="A18" s="90"/>
      <c r="B18" s="347"/>
      <c r="C18" s="345" t="str">
        <f>C14</f>
        <v>დონე -3.08 (-1 სართული)</v>
      </c>
      <c r="D18" s="308" t="s">
        <v>17</v>
      </c>
      <c r="E18" s="96"/>
      <c r="F18" s="308">
        <f>F14</f>
        <v>15195.5</v>
      </c>
      <c r="G18" s="212"/>
      <c r="H18" s="294"/>
      <c r="I18" s="212"/>
      <c r="J18" s="294"/>
      <c r="K18" s="498"/>
      <c r="L18" s="138"/>
      <c r="M18" s="138"/>
      <c r="O18" s="179"/>
      <c r="P18" s="271"/>
    </row>
    <row r="19" spans="1:19" s="454" customFormat="1" ht="10.2" outlineLevel="1">
      <c r="A19" s="449"/>
      <c r="B19" s="391"/>
      <c r="C19" s="394" t="s">
        <v>146</v>
      </c>
      <c r="D19" s="393" t="s">
        <v>17</v>
      </c>
      <c r="E19" s="397">
        <v>0.1</v>
      </c>
      <c r="F19" s="399">
        <f>F16*E19</f>
        <v>3052.67</v>
      </c>
      <c r="G19" s="216">
        <f>O19/$K$4</f>
        <v>0</v>
      </c>
      <c r="H19" s="209">
        <f>F19*G19</f>
        <v>0</v>
      </c>
      <c r="I19" s="212"/>
      <c r="J19" s="417"/>
      <c r="K19" s="211">
        <f>H19+J19</f>
        <v>0</v>
      </c>
      <c r="L19" s="138"/>
      <c r="M19" s="138"/>
      <c r="N19" s="451"/>
      <c r="O19" s="273"/>
      <c r="P19" s="277"/>
      <c r="Q19" s="451"/>
      <c r="R19" s="451"/>
      <c r="S19" s="451"/>
    </row>
    <row r="20" spans="1:19" s="454" customFormat="1" ht="10.8" thickBot="1">
      <c r="A20" s="188"/>
      <c r="B20" s="392"/>
      <c r="C20" s="395" t="s">
        <v>33</v>
      </c>
      <c r="D20" s="388" t="s">
        <v>17</v>
      </c>
      <c r="E20" s="398">
        <v>0.05</v>
      </c>
      <c r="F20" s="401">
        <f>F16*E20</f>
        <v>1526.335</v>
      </c>
      <c r="G20" s="217">
        <f>O20/$K$4</f>
        <v>0</v>
      </c>
      <c r="H20" s="210">
        <f>F20*G20</f>
        <v>0</v>
      </c>
      <c r="I20" s="215"/>
      <c r="J20" s="461"/>
      <c r="K20" s="499">
        <f>H20+J20</f>
        <v>0</v>
      </c>
      <c r="L20" s="141"/>
      <c r="M20" s="141"/>
      <c r="N20" s="451"/>
      <c r="O20" s="268"/>
      <c r="P20" s="278"/>
      <c r="Q20" s="451"/>
      <c r="R20" s="451"/>
      <c r="S20" s="451"/>
    </row>
    <row r="21" spans="1:16" s="6" customFormat="1" ht="10.8" thickBot="1">
      <c r="A21" s="288"/>
      <c r="B21" s="54"/>
      <c r="C21" s="54"/>
      <c r="D21" s="286"/>
      <c r="E21" s="288"/>
      <c r="F21" s="54"/>
      <c r="G21" s="331"/>
      <c r="H21" s="129"/>
      <c r="I21" s="331"/>
      <c r="J21" s="129"/>
      <c r="K21" s="500"/>
      <c r="L21" s="331"/>
      <c r="M21" s="129"/>
      <c r="O21" s="177"/>
      <c r="P21" s="270"/>
    </row>
    <row r="22" spans="1:16" s="6" customFormat="1" ht="24" thickBot="1">
      <c r="A22" s="827" t="s">
        <v>35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206"/>
      <c r="O22" s="175"/>
      <c r="P22" s="175"/>
    </row>
    <row r="23" spans="1:16" s="451" customFormat="1" ht="10.2">
      <c r="A23" s="445">
        <v>3</v>
      </c>
      <c r="B23" s="324"/>
      <c r="C23" s="344" t="s">
        <v>153</v>
      </c>
      <c r="D23" s="306" t="s">
        <v>81</v>
      </c>
      <c r="E23" s="303"/>
      <c r="F23" s="300">
        <f>SUM(F24:F25)</f>
        <v>12771.7</v>
      </c>
      <c r="G23" s="340"/>
      <c r="H23" s="338"/>
      <c r="I23" s="343">
        <f>P23/$K$4</f>
        <v>0</v>
      </c>
      <c r="J23" s="338">
        <f>F23*I23</f>
        <v>0</v>
      </c>
      <c r="K23" s="130">
        <f>H23+J23</f>
        <v>0</v>
      </c>
      <c r="L23" s="509">
        <f>SUM(K23:K30)</f>
        <v>0</v>
      </c>
      <c r="M23" s="509">
        <f>L23/F23</f>
        <v>0</v>
      </c>
      <c r="O23" s="170"/>
      <c r="P23" s="272"/>
    </row>
    <row r="24" spans="1:16" s="451" customFormat="1" ht="10.2" outlineLevel="1">
      <c r="A24" s="90"/>
      <c r="B24" s="347"/>
      <c r="C24" s="345" t="str">
        <f>C13</f>
        <v>დონე-6.06 (-2 სართული)</v>
      </c>
      <c r="D24" s="308" t="s">
        <v>81</v>
      </c>
      <c r="E24" s="96"/>
      <c r="F24" s="308">
        <f>'3-თეთრი კარკასი-პარკინგი'!F42+2541+1935</f>
        <v>5938.6</v>
      </c>
      <c r="G24" s="212"/>
      <c r="H24" s="294"/>
      <c r="I24" s="212"/>
      <c r="J24" s="294"/>
      <c r="K24" s="131"/>
      <c r="L24" s="138"/>
      <c r="M24" s="138"/>
      <c r="O24" s="179"/>
      <c r="P24" s="271"/>
    </row>
    <row r="25" spans="1:16" s="451" customFormat="1" ht="10.2" outlineLevel="1">
      <c r="A25" s="90"/>
      <c r="B25" s="347"/>
      <c r="C25" s="345" t="str">
        <f>C14</f>
        <v>დონე -3.08 (-1 სართული)</v>
      </c>
      <c r="D25" s="308" t="s">
        <v>81</v>
      </c>
      <c r="E25" s="96"/>
      <c r="F25" s="308">
        <f>'3-თეთრი კარკასი-პარკინგი'!F43+2216.5+1935</f>
        <v>6833.1</v>
      </c>
      <c r="G25" s="212"/>
      <c r="H25" s="294"/>
      <c r="I25" s="212"/>
      <c r="J25" s="294"/>
      <c r="K25" s="131"/>
      <c r="L25" s="138"/>
      <c r="M25" s="138"/>
      <c r="O25" s="179"/>
      <c r="P25" s="271"/>
    </row>
    <row r="26" spans="1:16" s="6" customFormat="1" ht="10.2">
      <c r="A26" s="91"/>
      <c r="B26" s="94"/>
      <c r="C26" s="310" t="s">
        <v>141</v>
      </c>
      <c r="D26" s="260" t="s">
        <v>142</v>
      </c>
      <c r="E26" s="305">
        <v>0.83</v>
      </c>
      <c r="F26" s="301">
        <f>E26*F23</f>
        <v>10600.511</v>
      </c>
      <c r="G26" s="315">
        <f>O26/$K$4</f>
        <v>0</v>
      </c>
      <c r="H26" s="313">
        <f>F26*G26</f>
        <v>0</v>
      </c>
      <c r="I26" s="214"/>
      <c r="J26" s="313"/>
      <c r="K26" s="131">
        <f aca="true" t="shared" si="0" ref="K26:K30">H26+J26</f>
        <v>0</v>
      </c>
      <c r="L26" s="139"/>
      <c r="M26" s="139"/>
      <c r="O26" s="176"/>
      <c r="P26" s="269"/>
    </row>
    <row r="27" spans="1:16" s="6" customFormat="1" ht="10.2">
      <c r="A27" s="91"/>
      <c r="B27" s="94"/>
      <c r="C27" s="310" t="s">
        <v>143</v>
      </c>
      <c r="D27" s="307" t="s">
        <v>66</v>
      </c>
      <c r="E27" s="305">
        <v>1.2</v>
      </c>
      <c r="F27" s="301">
        <f>E27*F23</f>
        <v>15326.04</v>
      </c>
      <c r="G27" s="315">
        <f>O27/$K$4</f>
        <v>0</v>
      </c>
      <c r="H27" s="313">
        <f>F27*G27</f>
        <v>0</v>
      </c>
      <c r="I27" s="214"/>
      <c r="J27" s="313"/>
      <c r="K27" s="131">
        <f t="shared" si="0"/>
        <v>0</v>
      </c>
      <c r="L27" s="139"/>
      <c r="M27" s="139"/>
      <c r="O27" s="176"/>
      <c r="P27" s="269"/>
    </row>
    <row r="28" spans="1:16" s="6" customFormat="1" ht="10.2">
      <c r="A28" s="91"/>
      <c r="B28" s="94"/>
      <c r="C28" s="310" t="s">
        <v>144</v>
      </c>
      <c r="D28" s="307" t="s">
        <v>145</v>
      </c>
      <c r="E28" s="305">
        <f>18/100</f>
        <v>0.18</v>
      </c>
      <c r="F28" s="301">
        <f>E28*F23</f>
        <v>2298.906</v>
      </c>
      <c r="G28" s="315">
        <f>O28/$K$4</f>
        <v>0</v>
      </c>
      <c r="H28" s="313">
        <f>F28*G28</f>
        <v>0</v>
      </c>
      <c r="I28" s="214"/>
      <c r="J28" s="313"/>
      <c r="K28" s="131">
        <f t="shared" si="0"/>
        <v>0</v>
      </c>
      <c r="L28" s="139"/>
      <c r="M28" s="139"/>
      <c r="O28" s="176"/>
      <c r="P28" s="269"/>
    </row>
    <row r="29" spans="1:16" s="6" customFormat="1" ht="10.2">
      <c r="A29" s="91"/>
      <c r="B29" s="94"/>
      <c r="C29" s="310" t="s">
        <v>146</v>
      </c>
      <c r="D29" s="307" t="s">
        <v>142</v>
      </c>
      <c r="E29" s="305">
        <v>0.5</v>
      </c>
      <c r="F29" s="301">
        <f>E29*F23</f>
        <v>6385.85</v>
      </c>
      <c r="G29" s="315">
        <f>O29/$K$4</f>
        <v>0</v>
      </c>
      <c r="H29" s="313">
        <f>F29*G29</f>
        <v>0</v>
      </c>
      <c r="I29" s="214"/>
      <c r="J29" s="313"/>
      <c r="K29" s="131">
        <f t="shared" si="0"/>
        <v>0</v>
      </c>
      <c r="L29" s="139"/>
      <c r="M29" s="139"/>
      <c r="O29" s="176"/>
      <c r="P29" s="269"/>
    </row>
    <row r="30" spans="1:16" s="6" customFormat="1" ht="10.8" thickBot="1">
      <c r="A30" s="91"/>
      <c r="B30" s="94"/>
      <c r="C30" s="310" t="s">
        <v>33</v>
      </c>
      <c r="D30" s="307"/>
      <c r="E30" s="305">
        <v>1</v>
      </c>
      <c r="F30" s="301">
        <f>E30*F23</f>
        <v>12771.7</v>
      </c>
      <c r="G30" s="315">
        <f>O30/$K$4</f>
        <v>0</v>
      </c>
      <c r="H30" s="313">
        <f>F30*G30</f>
        <v>0</v>
      </c>
      <c r="I30" s="214"/>
      <c r="J30" s="313"/>
      <c r="K30" s="131">
        <f t="shared" si="0"/>
        <v>0</v>
      </c>
      <c r="L30" s="139"/>
      <c r="M30" s="139"/>
      <c r="O30" s="176"/>
      <c r="P30" s="269"/>
    </row>
    <row r="31" spans="1:16" s="6" customFormat="1" ht="10.8" thickBot="1">
      <c r="A31" s="288"/>
      <c r="B31" s="54"/>
      <c r="C31" s="54"/>
      <c r="D31" s="286"/>
      <c r="E31" s="288"/>
      <c r="F31" s="54"/>
      <c r="G31" s="331"/>
      <c r="H31" s="129"/>
      <c r="I31" s="331"/>
      <c r="J31" s="129"/>
      <c r="K31" s="129"/>
      <c r="L31" s="129"/>
      <c r="M31" s="129"/>
      <c r="O31" s="177"/>
      <c r="P31" s="270"/>
    </row>
    <row r="32" spans="1:16" s="6" customFormat="1" ht="24" thickBot="1">
      <c r="A32" s="827" t="s">
        <v>89</v>
      </c>
      <c r="B32" s="828"/>
      <c r="C32" s="828"/>
      <c r="D32" s="828"/>
      <c r="E32" s="828"/>
      <c r="F32" s="828"/>
      <c r="G32" s="828"/>
      <c r="H32" s="828"/>
      <c r="I32" s="828"/>
      <c r="J32" s="828"/>
      <c r="K32" s="828"/>
      <c r="L32" s="828"/>
      <c r="M32" s="828"/>
      <c r="N32" s="206"/>
      <c r="O32" s="175"/>
      <c r="P32" s="175"/>
    </row>
    <row r="33" spans="1:16" s="451" customFormat="1" ht="10.2">
      <c r="A33" s="445">
        <v>4</v>
      </c>
      <c r="B33" s="324"/>
      <c r="C33" s="344" t="s">
        <v>154</v>
      </c>
      <c r="D33" s="306" t="s">
        <v>81</v>
      </c>
      <c r="E33" s="303"/>
      <c r="F33" s="300">
        <f>SUM(F34:F35)</f>
        <v>30526.7</v>
      </c>
      <c r="G33" s="340"/>
      <c r="H33" s="338"/>
      <c r="I33" s="343">
        <f>P33/$K$4</f>
        <v>0</v>
      </c>
      <c r="J33" s="338">
        <f>F33*I33</f>
        <v>0</v>
      </c>
      <c r="K33" s="130">
        <f>H33+J33</f>
        <v>0</v>
      </c>
      <c r="L33" s="509">
        <f>SUM(K33:K40)</f>
        <v>0</v>
      </c>
      <c r="M33" s="509">
        <f>L33/F33</f>
        <v>0</v>
      </c>
      <c r="O33" s="170"/>
      <c r="P33" s="272"/>
    </row>
    <row r="34" spans="1:16" s="451" customFormat="1" ht="10.2" outlineLevel="1">
      <c r="A34" s="90"/>
      <c r="B34" s="347"/>
      <c r="C34" s="345" t="str">
        <f>C23</f>
        <v>კედლების და კოლონების ღებვა</v>
      </c>
      <c r="D34" s="308" t="s">
        <v>81</v>
      </c>
      <c r="E34" s="96"/>
      <c r="F34" s="308">
        <f>F13</f>
        <v>15331.2</v>
      </c>
      <c r="G34" s="212"/>
      <c r="H34" s="294"/>
      <c r="I34" s="212"/>
      <c r="J34" s="294"/>
      <c r="K34" s="131"/>
      <c r="L34" s="138"/>
      <c r="M34" s="138"/>
      <c r="O34" s="179"/>
      <c r="P34" s="271"/>
    </row>
    <row r="35" spans="1:16" s="451" customFormat="1" ht="10.2" outlineLevel="1">
      <c r="A35" s="90"/>
      <c r="B35" s="347"/>
      <c r="C35" s="345" t="str">
        <f>C24</f>
        <v>დონე-6.06 (-2 სართული)</v>
      </c>
      <c r="D35" s="308" t="s">
        <v>81</v>
      </c>
      <c r="E35" s="96"/>
      <c r="F35" s="308">
        <f>F14</f>
        <v>15195.5</v>
      </c>
      <c r="G35" s="212"/>
      <c r="H35" s="294"/>
      <c r="I35" s="212"/>
      <c r="J35" s="294"/>
      <c r="K35" s="131"/>
      <c r="L35" s="138"/>
      <c r="M35" s="138"/>
      <c r="N35" s="9"/>
      <c r="O35" s="179"/>
      <c r="P35" s="271"/>
    </row>
    <row r="36" spans="1:16" s="6" customFormat="1" ht="10.2">
      <c r="A36" s="91"/>
      <c r="B36" s="94"/>
      <c r="C36" s="310" t="s">
        <v>155</v>
      </c>
      <c r="D36" s="260" t="s">
        <v>81</v>
      </c>
      <c r="E36" s="305">
        <v>1.2</v>
      </c>
      <c r="F36" s="301">
        <f>E36*F33</f>
        <v>36632.04</v>
      </c>
      <c r="G36" s="315">
        <f>O36/$K$4</f>
        <v>0</v>
      </c>
      <c r="H36" s="313">
        <f>F36*G36</f>
        <v>0</v>
      </c>
      <c r="I36" s="214"/>
      <c r="J36" s="313"/>
      <c r="K36" s="131">
        <f aca="true" t="shared" si="1" ref="K36:K37">H36+J36</f>
        <v>0</v>
      </c>
      <c r="L36" s="139"/>
      <c r="M36" s="139"/>
      <c r="N36" s="206"/>
      <c r="O36" s="176"/>
      <c r="P36" s="269"/>
    </row>
    <row r="37" spans="1:16" s="6" customFormat="1" ht="10.8" thickBot="1">
      <c r="A37" s="456"/>
      <c r="B37" s="636"/>
      <c r="C37" s="220" t="s">
        <v>33</v>
      </c>
      <c r="D37" s="309" t="s">
        <v>81</v>
      </c>
      <c r="E37" s="265">
        <v>1</v>
      </c>
      <c r="F37" s="314">
        <f>E37*F33</f>
        <v>30526.7</v>
      </c>
      <c r="G37" s="316">
        <f>O37/$K$4</f>
        <v>0</v>
      </c>
      <c r="H37" s="295">
        <f>F37*G37</f>
        <v>0</v>
      </c>
      <c r="I37" s="215"/>
      <c r="J37" s="295"/>
      <c r="K37" s="132">
        <f t="shared" si="1"/>
        <v>0</v>
      </c>
      <c r="L37" s="140"/>
      <c r="M37" s="140"/>
      <c r="N37" s="637"/>
      <c r="O37" s="604"/>
      <c r="P37" s="257"/>
    </row>
    <row r="38" spans="1:13" s="12" customFormat="1" ht="10.8" thickBot="1">
      <c r="A38" s="61"/>
      <c r="B38" s="61"/>
      <c r="C38" s="6"/>
      <c r="D38" s="460"/>
      <c r="E38" s="460"/>
      <c r="F38" s="192"/>
      <c r="G38" s="117"/>
      <c r="H38" s="87">
        <f>SUM(H12:H37)</f>
        <v>0</v>
      </c>
      <c r="I38" s="635"/>
      <c r="J38" s="87">
        <f>SUM(J12:J37)</f>
        <v>0</v>
      </c>
      <c r="K38" s="166"/>
      <c r="L38" s="15"/>
      <c r="M38" s="15"/>
    </row>
    <row r="39" spans="1:13" s="12" customFormat="1" ht="10.8" thickBot="1">
      <c r="A39" s="61"/>
      <c r="B39" s="61"/>
      <c r="C39" s="6"/>
      <c r="D39" s="10"/>
      <c r="E39" s="10"/>
      <c r="F39" s="192"/>
      <c r="G39" s="116"/>
      <c r="H39" s="82" t="s">
        <v>67</v>
      </c>
      <c r="I39" s="225">
        <v>0.02</v>
      </c>
      <c r="J39" s="20"/>
      <c r="K39" s="98">
        <f>I39*H38</f>
        <v>0</v>
      </c>
      <c r="L39" s="15"/>
      <c r="M39" s="15"/>
    </row>
    <row r="40" spans="1:16" s="12" customFormat="1" ht="10.8" thickBot="1">
      <c r="A40" s="6"/>
      <c r="B40" s="6"/>
      <c r="C40" s="6"/>
      <c r="D40" s="6"/>
      <c r="E40" s="6"/>
      <c r="F40" s="444"/>
      <c r="G40" s="117"/>
      <c r="H40" s="31"/>
      <c r="I40" s="226"/>
      <c r="J40" s="31"/>
      <c r="K40" s="99"/>
      <c r="L40" s="134"/>
      <c r="M40" s="134"/>
      <c r="O40" s="182"/>
      <c r="P40" s="124"/>
    </row>
    <row r="41" spans="1:16" s="12" customFormat="1" ht="10.8" thickBot="1">
      <c r="A41" s="6"/>
      <c r="B41" s="6"/>
      <c r="C41" s="6"/>
      <c r="D41" s="6"/>
      <c r="E41" s="6"/>
      <c r="F41" s="444"/>
      <c r="G41" s="116"/>
      <c r="H41" s="625" t="s">
        <v>56</v>
      </c>
      <c r="I41" s="225"/>
      <c r="J41" s="20"/>
      <c r="K41" s="98">
        <f>SUM(K12:K39)</f>
        <v>0</v>
      </c>
      <c r="L41" s="134"/>
      <c r="M41" s="134"/>
      <c r="O41" s="182"/>
      <c r="P41" s="124"/>
    </row>
    <row r="42" spans="1:13" s="12" customFormat="1" ht="10.8" thickBot="1">
      <c r="A42" s="61"/>
      <c r="B42" s="61"/>
      <c r="C42" s="1"/>
      <c r="D42" s="191"/>
      <c r="E42" s="191"/>
      <c r="F42" s="3"/>
      <c r="G42" s="118"/>
      <c r="H42" s="34"/>
      <c r="I42" s="227"/>
      <c r="J42" s="34"/>
      <c r="K42" s="100"/>
      <c r="L42" s="15"/>
      <c r="M42" s="558"/>
    </row>
    <row r="43" spans="1:13" s="12" customFormat="1" ht="10.2">
      <c r="A43" s="61"/>
      <c r="B43" s="61"/>
      <c r="C43" s="1"/>
      <c r="D43" s="191"/>
      <c r="E43" s="191"/>
      <c r="F43" s="3"/>
      <c r="G43" s="119"/>
      <c r="H43" s="44" t="s">
        <v>68</v>
      </c>
      <c r="I43" s="228">
        <v>0.08</v>
      </c>
      <c r="J43" s="25"/>
      <c r="K43" s="101">
        <f>K41*I43</f>
        <v>0</v>
      </c>
      <c r="L43" s="15"/>
      <c r="M43" s="15"/>
    </row>
    <row r="44" spans="1:13" s="12" customFormat="1" ht="10.8" thickBot="1">
      <c r="A44" s="70"/>
      <c r="B44" s="62"/>
      <c r="C44" s="8"/>
      <c r="D44" s="15"/>
      <c r="E44" s="15"/>
      <c r="F44" s="14"/>
      <c r="G44" s="120"/>
      <c r="H44" s="42" t="s">
        <v>56</v>
      </c>
      <c r="I44" s="229"/>
      <c r="J44" s="43"/>
      <c r="K44" s="102">
        <f>K41+K43</f>
        <v>0</v>
      </c>
      <c r="L44" s="15"/>
      <c r="M44" s="15"/>
    </row>
    <row r="45" spans="1:13" s="12" customFormat="1" ht="10.8" thickBot="1">
      <c r="A45" s="524"/>
      <c r="B45" s="524"/>
      <c r="C45" s="524"/>
      <c r="D45" s="525"/>
      <c r="E45" s="524"/>
      <c r="F45" s="14"/>
      <c r="G45" s="121"/>
      <c r="H45" s="37"/>
      <c r="I45" s="230"/>
      <c r="J45" s="39"/>
      <c r="K45" s="103"/>
      <c r="L45" s="15"/>
      <c r="M45" s="15"/>
    </row>
    <row r="46" spans="1:13" s="12" customFormat="1" ht="10.2">
      <c r="A46" s="525"/>
      <c r="B46" s="524"/>
      <c r="C46" s="524"/>
      <c r="D46" s="525"/>
      <c r="E46" s="524"/>
      <c r="F46" s="14"/>
      <c r="G46" s="122"/>
      <c r="H46" s="44" t="s">
        <v>69</v>
      </c>
      <c r="I46" s="228">
        <v>0.08</v>
      </c>
      <c r="J46" s="25"/>
      <c r="K46" s="101">
        <f>K44*I46</f>
        <v>0</v>
      </c>
      <c r="L46" s="15"/>
      <c r="M46" s="15"/>
    </row>
    <row r="47" spans="1:16" s="12" customFormat="1" ht="16.2" thickBot="1">
      <c r="A47"/>
      <c r="B47"/>
      <c r="C47"/>
      <c r="D47"/>
      <c r="E47"/>
      <c r="F47" s="14"/>
      <c r="G47" s="120"/>
      <c r="H47" s="42" t="s">
        <v>56</v>
      </c>
      <c r="I47" s="229"/>
      <c r="J47" s="43"/>
      <c r="K47" s="102">
        <f>K44+K46</f>
        <v>0</v>
      </c>
      <c r="L47" s="15"/>
      <c r="M47" s="15"/>
      <c r="O47" s="8"/>
      <c r="P47" s="8"/>
    </row>
    <row r="48" spans="1:16" s="12" customFormat="1" ht="16.2" thickBot="1">
      <c r="A48"/>
      <c r="B48"/>
      <c r="C48"/>
      <c r="D48"/>
      <c r="E48"/>
      <c r="F48" s="14"/>
      <c r="G48" s="121"/>
      <c r="H48" s="37"/>
      <c r="I48" s="230"/>
      <c r="J48" s="39"/>
      <c r="K48" s="103"/>
      <c r="L48" s="15"/>
      <c r="M48" s="15"/>
      <c r="N48" s="8"/>
      <c r="O48" s="8"/>
      <c r="P48" s="8"/>
    </row>
    <row r="49" spans="1:16" s="12" customFormat="1" ht="15.75">
      <c r="A49"/>
      <c r="B49"/>
      <c r="C49"/>
      <c r="D49"/>
      <c r="E49"/>
      <c r="F49" s="14"/>
      <c r="G49" s="122"/>
      <c r="H49" s="44" t="s">
        <v>70</v>
      </c>
      <c r="I49" s="228">
        <v>0</v>
      </c>
      <c r="J49" s="25"/>
      <c r="K49" s="101">
        <f>K47*I49</f>
        <v>0</v>
      </c>
      <c r="L49" s="15"/>
      <c r="M49" s="15"/>
      <c r="N49" s="8"/>
      <c r="O49" s="6"/>
      <c r="P49" s="6"/>
    </row>
    <row r="50" spans="1:16" s="12" customFormat="1" ht="16.2" thickBot="1">
      <c r="A50"/>
      <c r="B50"/>
      <c r="C50"/>
      <c r="D50"/>
      <c r="E50"/>
      <c r="F50" s="14"/>
      <c r="G50" s="120"/>
      <c r="H50" s="42" t="s">
        <v>56</v>
      </c>
      <c r="I50" s="229"/>
      <c r="J50" s="43"/>
      <c r="K50" s="102">
        <f>K47+K49</f>
        <v>0</v>
      </c>
      <c r="L50" s="15"/>
      <c r="M50" s="15"/>
      <c r="N50" s="6"/>
      <c r="O50" s="6"/>
      <c r="P50" s="6"/>
    </row>
    <row r="51" spans="1:16" s="8" customFormat="1" ht="16.2" thickBot="1">
      <c r="A51"/>
      <c r="B51"/>
      <c r="C51"/>
      <c r="D51"/>
      <c r="E51"/>
      <c r="F51" s="14"/>
      <c r="G51" s="121"/>
      <c r="H51" s="37"/>
      <c r="I51" s="230"/>
      <c r="J51" s="39"/>
      <c r="K51" s="103"/>
      <c r="L51" s="15"/>
      <c r="M51" s="15"/>
      <c r="N51" s="6"/>
      <c r="O51" s="169"/>
      <c r="P51" s="169"/>
    </row>
    <row r="52" spans="1:16" s="8" customFormat="1" ht="15.75">
      <c r="A52"/>
      <c r="B52"/>
      <c r="C52"/>
      <c r="D52"/>
      <c r="E52"/>
      <c r="F52" s="14"/>
      <c r="G52" s="122"/>
      <c r="H52" s="23" t="s">
        <v>71</v>
      </c>
      <c r="I52" s="228">
        <v>0.18</v>
      </c>
      <c r="J52" s="25"/>
      <c r="K52" s="104">
        <f>K50*I52</f>
        <v>0</v>
      </c>
      <c r="L52" s="15"/>
      <c r="M52" s="15"/>
      <c r="N52" s="169"/>
      <c r="O52" s="169"/>
      <c r="P52" s="169"/>
    </row>
    <row r="53" spans="1:16" s="6" customFormat="1" ht="16.2" thickBot="1">
      <c r="A53"/>
      <c r="B53"/>
      <c r="C53"/>
      <c r="D53"/>
      <c r="E53"/>
      <c r="F53" s="14"/>
      <c r="G53" s="120"/>
      <c r="H53" s="17" t="s">
        <v>56</v>
      </c>
      <c r="I53" s="106" t="s">
        <v>12</v>
      </c>
      <c r="J53" s="18"/>
      <c r="K53" s="105">
        <f>K50+K52</f>
        <v>0</v>
      </c>
      <c r="L53" s="10"/>
      <c r="M53" s="10"/>
      <c r="N53" s="169"/>
      <c r="O53" s="169"/>
      <c r="P53" s="169"/>
    </row>
    <row r="54" spans="6:19" ht="15.75"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</row>
    <row r="55" spans="6:19" ht="15.75"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</row>
    <row r="56" spans="6:19" ht="15.75"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6:19" ht="15.75"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</row>
    <row r="58" spans="6:19" ht="15.75"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6:19" ht="16.2" thickBot="1"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6:19" ht="15.75">
      <c r="F60" s="169"/>
      <c r="G60" s="169"/>
      <c r="H60" s="169"/>
      <c r="I60" s="169"/>
      <c r="J60" s="169"/>
      <c r="K60" s="169"/>
      <c r="L60" s="169"/>
      <c r="M60" s="457"/>
      <c r="N60" s="169"/>
      <c r="O60" s="169"/>
      <c r="P60" s="169"/>
      <c r="Q60" s="169"/>
      <c r="R60" s="169"/>
      <c r="S60" s="169"/>
    </row>
    <row r="61" ht="15.75">
      <c r="M61" s="458"/>
    </row>
    <row r="62" ht="16.2" thickBot="1">
      <c r="M62" s="459"/>
    </row>
  </sheetData>
  <mergeCells count="19">
    <mergeCell ref="C1:E1"/>
    <mergeCell ref="A2:C2"/>
    <mergeCell ref="I2:K2"/>
    <mergeCell ref="A3:B3"/>
    <mergeCell ref="A7:A8"/>
    <mergeCell ref="B7:B8"/>
    <mergeCell ref="D7:D8"/>
    <mergeCell ref="E7:F7"/>
    <mergeCell ref="G7:H7"/>
    <mergeCell ref="C4:F4"/>
    <mergeCell ref="I7:J7"/>
    <mergeCell ref="K7:K8"/>
    <mergeCell ref="A32:M32"/>
    <mergeCell ref="A11:M11"/>
    <mergeCell ref="O7:O8"/>
    <mergeCell ref="P7:P8"/>
    <mergeCell ref="A22:M22"/>
    <mergeCell ref="L7:L8"/>
    <mergeCell ref="M7:M8"/>
  </mergeCells>
  <printOptions/>
  <pageMargins left="0.7500000000000001" right="0.7500000000000001" top="1" bottom="1" header="0.5" footer="0.5"/>
  <pageSetup fitToHeight="1" fitToWidth="1" horizontalDpi="600" verticalDpi="600" orientation="portrait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63"/>
  <sheetViews>
    <sheetView showGridLines="0" zoomScalePageLayoutView="110" workbookViewId="0" topLeftCell="A1">
      <selection activeCell="F16" sqref="F16"/>
    </sheetView>
  </sheetViews>
  <sheetFormatPr defaultColWidth="8.875" defaultRowHeight="15.75" outlineLevelRow="1"/>
  <cols>
    <col min="1" max="1" width="3.50390625" style="6" bestFit="1" customWidth="1"/>
    <col min="2" max="2" width="5.625" style="6" customWidth="1"/>
    <col min="3" max="3" width="36.125" style="6" customWidth="1"/>
    <col min="4" max="4" width="5.625" style="6" bestFit="1" customWidth="1"/>
    <col min="5" max="5" width="9.375" style="6" customWidth="1"/>
    <col min="6" max="6" width="9.375" style="444" customWidth="1"/>
    <col min="7" max="7" width="9.625" style="128" customWidth="1"/>
    <col min="8" max="8" width="12.125" style="136" customWidth="1"/>
    <col min="9" max="9" width="13.50390625" style="128" customWidth="1"/>
    <col min="10" max="10" width="18.125" style="136" bestFit="1" customWidth="1"/>
    <col min="11" max="11" width="12.375" style="128" bestFit="1" customWidth="1"/>
    <col min="12" max="12" width="12.375" style="136" customWidth="1"/>
    <col min="13" max="13" width="11.00390625" style="136" customWidth="1"/>
    <col min="14" max="14" width="7.125" style="6" customWidth="1"/>
    <col min="15" max="15" width="9.375" style="175" customWidth="1"/>
    <col min="16" max="16" width="10.875" style="175" customWidth="1"/>
    <col min="17" max="20" width="8.875" style="6" customWidth="1"/>
    <col min="21" max="21" width="48.125" style="6" customWidth="1"/>
    <col min="22" max="16384" width="8.875" style="6" customWidth="1"/>
  </cols>
  <sheetData>
    <row r="1" spans="1:16" ht="18" thickBot="1">
      <c r="A1" s="1"/>
      <c r="B1" s="2"/>
      <c r="C1" s="817" t="str">
        <f>TOTAL!A2</f>
        <v>სითი მოლი საბურთალო</v>
      </c>
      <c r="D1" s="817"/>
      <c r="E1" s="817"/>
      <c r="F1" s="451"/>
      <c r="G1" s="126"/>
      <c r="H1" s="135"/>
      <c r="I1" s="126"/>
      <c r="J1" s="135"/>
      <c r="K1" s="126"/>
      <c r="L1" s="135"/>
      <c r="M1" s="135"/>
      <c r="O1" s="171"/>
      <c r="P1" s="171"/>
    </row>
    <row r="2" spans="1:15" ht="16.2" thickBot="1">
      <c r="A2" s="855" t="s">
        <v>183</v>
      </c>
      <c r="B2" s="855"/>
      <c r="C2" s="856"/>
      <c r="D2" s="463"/>
      <c r="E2" s="1"/>
      <c r="F2" s="451"/>
      <c r="G2" s="126"/>
      <c r="H2" s="135"/>
      <c r="I2" s="838" t="s">
        <v>10</v>
      </c>
      <c r="J2" s="839"/>
      <c r="K2" s="840"/>
      <c r="L2" s="128"/>
      <c r="M2" s="128"/>
      <c r="O2" s="171"/>
    </row>
    <row r="3" spans="1:15" ht="16.2" thickBot="1">
      <c r="A3" s="841"/>
      <c r="B3" s="841"/>
      <c r="C3" s="45"/>
      <c r="E3" s="45"/>
      <c r="F3" s="45"/>
      <c r="G3" s="146"/>
      <c r="H3" s="146"/>
      <c r="I3" s="334" t="s">
        <v>12</v>
      </c>
      <c r="J3" s="334" t="s">
        <v>11</v>
      </c>
      <c r="K3" s="299" t="s">
        <v>13</v>
      </c>
      <c r="L3" s="128"/>
      <c r="M3" s="128"/>
      <c r="O3" s="172"/>
    </row>
    <row r="4" spans="1:15" ht="15.6" thickBot="1">
      <c r="A4" s="1"/>
      <c r="B4" s="2"/>
      <c r="C4" s="464"/>
      <c r="D4" s="47"/>
      <c r="E4" s="46"/>
      <c r="F4" s="46"/>
      <c r="G4" s="147"/>
      <c r="H4" s="147"/>
      <c r="I4" s="296">
        <f>K113</f>
        <v>0</v>
      </c>
      <c r="J4" s="336">
        <f>I4*K4</f>
        <v>0</v>
      </c>
      <c r="K4" s="403">
        <f>TOTAL!C24</f>
        <v>2.45</v>
      </c>
      <c r="L4" s="128"/>
      <c r="M4" s="128"/>
      <c r="O4" s="173"/>
    </row>
    <row r="5" spans="1:16" ht="15.75">
      <c r="A5" s="1"/>
      <c r="B5" s="2"/>
      <c r="C5" s="1"/>
      <c r="D5" s="47"/>
      <c r="E5" s="46"/>
      <c r="F5" s="46"/>
      <c r="G5" s="147"/>
      <c r="H5" s="147"/>
      <c r="I5" s="335"/>
      <c r="J5" s="337"/>
      <c r="K5" s="165"/>
      <c r="L5" s="128"/>
      <c r="M5" s="128"/>
      <c r="O5" s="173"/>
      <c r="P5" s="67"/>
    </row>
    <row r="6" spans="1:16" ht="10.8" thickBot="1">
      <c r="A6" s="1"/>
      <c r="B6" s="2"/>
      <c r="C6" s="1"/>
      <c r="D6" s="463"/>
      <c r="E6" s="463"/>
      <c r="F6" s="3"/>
      <c r="G6" s="148"/>
      <c r="H6" s="158"/>
      <c r="I6" s="148"/>
      <c r="J6" s="135"/>
      <c r="K6" s="127"/>
      <c r="L6" s="68"/>
      <c r="M6" s="68"/>
      <c r="O6" s="174"/>
      <c r="P6" s="174"/>
    </row>
    <row r="7" spans="1:16" ht="18.75" customHeight="1" thickBot="1">
      <c r="A7" s="842" t="s">
        <v>0</v>
      </c>
      <c r="B7" s="844" t="s">
        <v>61</v>
      </c>
      <c r="C7" s="321" t="s">
        <v>52</v>
      </c>
      <c r="D7" s="846" t="s">
        <v>53</v>
      </c>
      <c r="E7" s="838" t="s">
        <v>50</v>
      </c>
      <c r="F7" s="840"/>
      <c r="G7" s="838" t="s">
        <v>54</v>
      </c>
      <c r="H7" s="840"/>
      <c r="I7" s="838" t="s">
        <v>55</v>
      </c>
      <c r="J7" s="840"/>
      <c r="K7" s="830" t="s">
        <v>56</v>
      </c>
      <c r="L7" s="830" t="s">
        <v>57</v>
      </c>
      <c r="M7" s="830" t="s">
        <v>58</v>
      </c>
      <c r="O7" s="832" t="s">
        <v>148</v>
      </c>
      <c r="P7" s="834" t="s">
        <v>149</v>
      </c>
    </row>
    <row r="8" spans="1:16" ht="10.8" thickBot="1">
      <c r="A8" s="843"/>
      <c r="B8" s="845"/>
      <c r="C8" s="282"/>
      <c r="D8" s="847"/>
      <c r="E8" s="281" t="s">
        <v>59</v>
      </c>
      <c r="F8" s="282" t="s">
        <v>56</v>
      </c>
      <c r="G8" s="570" t="s">
        <v>60</v>
      </c>
      <c r="H8" s="282" t="s">
        <v>56</v>
      </c>
      <c r="I8" s="364" t="s">
        <v>60</v>
      </c>
      <c r="J8" s="282" t="s">
        <v>56</v>
      </c>
      <c r="K8" s="831"/>
      <c r="L8" s="831"/>
      <c r="M8" s="831"/>
      <c r="O8" s="853"/>
      <c r="P8" s="854"/>
    </row>
    <row r="9" spans="1:16" ht="10.8" thickBot="1">
      <c r="A9" s="322" t="s">
        <v>1</v>
      </c>
      <c r="B9" s="332">
        <v>2</v>
      </c>
      <c r="C9" s="280" t="s">
        <v>2</v>
      </c>
      <c r="D9" s="280" t="s">
        <v>3</v>
      </c>
      <c r="E9" s="287" t="s">
        <v>14</v>
      </c>
      <c r="F9" s="280" t="s">
        <v>4</v>
      </c>
      <c r="G9" s="287">
        <v>7</v>
      </c>
      <c r="H9" s="280" t="s">
        <v>6</v>
      </c>
      <c r="I9" s="279">
        <v>9</v>
      </c>
      <c r="J9" s="279" t="s">
        <v>9</v>
      </c>
      <c r="K9" s="279" t="s">
        <v>9</v>
      </c>
      <c r="L9" s="279" t="s">
        <v>27</v>
      </c>
      <c r="M9" s="279" t="s">
        <v>25</v>
      </c>
      <c r="O9" s="318" t="s">
        <v>18</v>
      </c>
      <c r="P9" s="274" t="s">
        <v>26</v>
      </c>
    </row>
    <row r="10" spans="1:16" ht="10.8" thickBot="1">
      <c r="A10" s="288"/>
      <c r="B10" s="54"/>
      <c r="C10" s="288"/>
      <c r="D10" s="286"/>
      <c r="E10" s="288"/>
      <c r="F10" s="54"/>
      <c r="G10" s="331"/>
      <c r="H10" s="129"/>
      <c r="I10" s="331"/>
      <c r="J10" s="129"/>
      <c r="K10" s="129"/>
      <c r="L10" s="129"/>
      <c r="M10" s="129"/>
      <c r="N10" s="186"/>
      <c r="O10" s="333"/>
      <c r="P10" s="270"/>
    </row>
    <row r="11" spans="1:16" ht="29.1" customHeight="1" thickBot="1">
      <c r="A11" s="850" t="s">
        <v>34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206"/>
      <c r="O11" s="184"/>
      <c r="P11" s="184"/>
    </row>
    <row r="12" spans="1:16" s="451" customFormat="1" ht="15.75">
      <c r="A12" s="445">
        <v>1</v>
      </c>
      <c r="B12" s="346"/>
      <c r="C12" s="344" t="s">
        <v>184</v>
      </c>
      <c r="D12" s="355" t="s">
        <v>17</v>
      </c>
      <c r="E12" s="356"/>
      <c r="F12" s="357">
        <f>SUM(F13:F16)</f>
        <v>8850.3</v>
      </c>
      <c r="G12" s="358"/>
      <c r="H12" s="359"/>
      <c r="I12" s="360">
        <f>P12/$K$4</f>
        <v>0</v>
      </c>
      <c r="J12" s="359">
        <f>F12*I12</f>
        <v>0</v>
      </c>
      <c r="K12" s="361">
        <f>H12+J12</f>
        <v>0</v>
      </c>
      <c r="L12" s="362">
        <f>SUM(K12:K19)</f>
        <v>0</v>
      </c>
      <c r="M12" s="362">
        <f>L12/F12</f>
        <v>0</v>
      </c>
      <c r="O12" s="170"/>
      <c r="P12" s="272"/>
    </row>
    <row r="13" spans="1:16" s="451" customFormat="1" ht="15.75" outlineLevel="1">
      <c r="A13" s="90"/>
      <c r="B13" s="347"/>
      <c r="C13" s="345" t="str">
        <f>'4- თეთრი კარკასი-მოლი'!C13</f>
        <v>დონე +0.00 (0 სართული)</v>
      </c>
      <c r="D13" s="308" t="s">
        <v>17</v>
      </c>
      <c r="E13" s="96"/>
      <c r="F13" s="813">
        <f>'4- თეთრი კარკასი-მოლი'!F13</f>
        <v>2158.3</v>
      </c>
      <c r="G13" s="212"/>
      <c r="H13" s="294"/>
      <c r="I13" s="212"/>
      <c r="J13" s="294"/>
      <c r="K13" s="131"/>
      <c r="L13" s="138"/>
      <c r="M13" s="138"/>
      <c r="O13" s="179"/>
      <c r="P13" s="271"/>
    </row>
    <row r="14" spans="1:16" s="451" customFormat="1" ht="15.75" outlineLevel="1">
      <c r="A14" s="90"/>
      <c r="B14" s="347"/>
      <c r="C14" s="345" t="str">
        <f>'4- თეთრი კარკასი-მოლი'!C14</f>
        <v>დონე +4.38 (+1 სართული)</v>
      </c>
      <c r="D14" s="308" t="s">
        <v>17</v>
      </c>
      <c r="E14" s="96"/>
      <c r="F14" s="813">
        <f>'4- თეთრი კარკასი-მოლი'!F14</f>
        <v>2947</v>
      </c>
      <c r="G14" s="212"/>
      <c r="H14" s="294"/>
      <c r="I14" s="212"/>
      <c r="J14" s="294"/>
      <c r="K14" s="131"/>
      <c r="L14" s="138"/>
      <c r="M14" s="138"/>
      <c r="O14" s="179"/>
      <c r="P14" s="271"/>
    </row>
    <row r="15" spans="1:16" s="451" customFormat="1" ht="15.75" outlineLevel="1">
      <c r="A15" s="90"/>
      <c r="B15" s="347"/>
      <c r="C15" s="345" t="str">
        <f>'4- თეთრი კარკასი-მოლი'!C15</f>
        <v>დონე +9.68 (+2 სართული)</v>
      </c>
      <c r="D15" s="308" t="s">
        <v>17</v>
      </c>
      <c r="E15" s="96"/>
      <c r="F15" s="813">
        <f>'4- თეთრი კარკასი-მოლი'!F15</f>
        <v>2511.7</v>
      </c>
      <c r="G15" s="212"/>
      <c r="H15" s="294"/>
      <c r="I15" s="212"/>
      <c r="J15" s="294"/>
      <c r="K15" s="131"/>
      <c r="L15" s="138"/>
      <c r="M15" s="138"/>
      <c r="O15" s="179"/>
      <c r="P15" s="271"/>
    </row>
    <row r="16" spans="1:16" s="451" customFormat="1" ht="15.75" outlineLevel="1">
      <c r="A16" s="90"/>
      <c r="B16" s="347"/>
      <c r="C16" s="345" t="str">
        <f>'4- თეთრი კარკასი-მოლი'!C16</f>
        <v>დონე +14.98 (+3 სართული)</v>
      </c>
      <c r="D16" s="308" t="s">
        <v>17</v>
      </c>
      <c r="E16" s="96"/>
      <c r="F16" s="813">
        <f>'4- თეთრი კარკასი-მოლი'!F16</f>
        <v>1233.3</v>
      </c>
      <c r="G16" s="212"/>
      <c r="H16" s="294"/>
      <c r="I16" s="212"/>
      <c r="J16" s="294"/>
      <c r="K16" s="131"/>
      <c r="L16" s="138"/>
      <c r="M16" s="138"/>
      <c r="O16" s="179"/>
      <c r="P16" s="271"/>
    </row>
    <row r="17" spans="1:16" ht="15.75">
      <c r="A17" s="90"/>
      <c r="B17" s="348"/>
      <c r="C17" s="310" t="s">
        <v>187</v>
      </c>
      <c r="D17" s="328" t="s">
        <v>142</v>
      </c>
      <c r="E17" s="305">
        <v>6</v>
      </c>
      <c r="F17" s="301">
        <f>$F$12*E17</f>
        <v>53101.799999999996</v>
      </c>
      <c r="G17" s="315">
        <f>O17/$K$4</f>
        <v>0</v>
      </c>
      <c r="H17" s="294">
        <f>F17*G17</f>
        <v>0</v>
      </c>
      <c r="I17" s="212"/>
      <c r="J17" s="294"/>
      <c r="K17" s="131">
        <f>H17+J17</f>
        <v>0</v>
      </c>
      <c r="L17" s="139"/>
      <c r="M17" s="139"/>
      <c r="O17" s="179"/>
      <c r="P17" s="271"/>
    </row>
    <row r="18" spans="1:16" ht="15.75">
      <c r="A18" s="91"/>
      <c r="B18" s="349"/>
      <c r="C18" s="310" t="s">
        <v>188</v>
      </c>
      <c r="D18" s="260" t="s">
        <v>81</v>
      </c>
      <c r="E18" s="305">
        <v>1.05</v>
      </c>
      <c r="F18" s="301">
        <f>$F$12*E18</f>
        <v>9292.815</v>
      </c>
      <c r="G18" s="315">
        <f>O18/$K$4</f>
        <v>0</v>
      </c>
      <c r="H18" s="294">
        <f>F18*G18</f>
        <v>0</v>
      </c>
      <c r="I18" s="214"/>
      <c r="J18" s="313"/>
      <c r="K18" s="131">
        <f>H18+J18</f>
        <v>0</v>
      </c>
      <c r="L18" s="139"/>
      <c r="M18" s="139"/>
      <c r="O18" s="176"/>
      <c r="P18" s="269"/>
    </row>
    <row r="19" spans="1:16" ht="10.8" thickBot="1">
      <c r="A19" s="455"/>
      <c r="B19" s="350"/>
      <c r="C19" s="310" t="s">
        <v>33</v>
      </c>
      <c r="D19" s="260"/>
      <c r="E19" s="305">
        <v>1</v>
      </c>
      <c r="F19" s="312">
        <f>E19*F12</f>
        <v>8850.3</v>
      </c>
      <c r="G19" s="315">
        <f>O19/$K$4</f>
        <v>0</v>
      </c>
      <c r="H19" s="294">
        <f>F19*G19</f>
        <v>0</v>
      </c>
      <c r="I19" s="212"/>
      <c r="J19" s="294"/>
      <c r="K19" s="131">
        <f>H19+J19</f>
        <v>0</v>
      </c>
      <c r="L19" s="139"/>
      <c r="M19" s="139"/>
      <c r="O19" s="179"/>
      <c r="P19" s="271"/>
    </row>
    <row r="20" spans="1:16" s="451" customFormat="1" ht="15.75">
      <c r="A20" s="445">
        <v>2</v>
      </c>
      <c r="B20" s="346"/>
      <c r="C20" s="344" t="s">
        <v>185</v>
      </c>
      <c r="D20" s="306" t="s">
        <v>17</v>
      </c>
      <c r="E20" s="303"/>
      <c r="F20" s="300">
        <f>SUM(F21:F24)</f>
        <v>470.4</v>
      </c>
      <c r="G20" s="340"/>
      <c r="H20" s="338"/>
      <c r="I20" s="343">
        <f>P20/$K$4</f>
        <v>0</v>
      </c>
      <c r="J20" s="338">
        <f>F20*I20</f>
        <v>0</v>
      </c>
      <c r="K20" s="130">
        <f>H20+J20</f>
        <v>0</v>
      </c>
      <c r="L20" s="137">
        <f>SUM(K20:K28)</f>
        <v>0</v>
      </c>
      <c r="M20" s="137">
        <f>L20/F20</f>
        <v>0</v>
      </c>
      <c r="O20" s="170"/>
      <c r="P20" s="272"/>
    </row>
    <row r="21" spans="1:16" s="451" customFormat="1" ht="15.75" outlineLevel="1">
      <c r="A21" s="90"/>
      <c r="B21" s="347"/>
      <c r="C21" s="345" t="str">
        <f>'4- თეთრი კარკასი-მოლი'!C21</f>
        <v>დონე +0.00 (0 სართული)</v>
      </c>
      <c r="D21" s="308" t="s">
        <v>17</v>
      </c>
      <c r="E21" s="96"/>
      <c r="F21" s="308">
        <f>'4- თეთრი კარკასი-მოლი'!F21</f>
        <v>67.2</v>
      </c>
      <c r="G21" s="212"/>
      <c r="H21" s="294"/>
      <c r="I21" s="212"/>
      <c r="J21" s="294"/>
      <c r="K21" s="131"/>
      <c r="L21" s="138"/>
      <c r="M21" s="138"/>
      <c r="O21" s="179"/>
      <c r="P21" s="271"/>
    </row>
    <row r="22" spans="1:16" s="451" customFormat="1" ht="15.75" outlineLevel="1">
      <c r="A22" s="90"/>
      <c r="B22" s="347"/>
      <c r="C22" s="345" t="str">
        <f>'4- თეთრი კარკასი-მოლი'!C22</f>
        <v>დონე +4.38 (+1 სართული)</v>
      </c>
      <c r="D22" s="308" t="s">
        <v>17</v>
      </c>
      <c r="E22" s="96"/>
      <c r="F22" s="308">
        <f>'4- თეთრი კარკასი-მოლი'!F22</f>
        <v>134.4</v>
      </c>
      <c r="G22" s="212"/>
      <c r="H22" s="294"/>
      <c r="I22" s="212"/>
      <c r="J22" s="294"/>
      <c r="K22" s="131"/>
      <c r="L22" s="138"/>
      <c r="M22" s="138"/>
      <c r="O22" s="179"/>
      <c r="P22" s="271"/>
    </row>
    <row r="23" spans="1:16" s="451" customFormat="1" ht="15.75" outlineLevel="1">
      <c r="A23" s="90"/>
      <c r="B23" s="347"/>
      <c r="C23" s="345" t="str">
        <f>'4- თეთრი კარკასი-მოლი'!C23</f>
        <v>დონე +9.68 (+2 სართული)</v>
      </c>
      <c r="D23" s="308" t="s">
        <v>17</v>
      </c>
      <c r="E23" s="96"/>
      <c r="F23" s="308">
        <f>'4- თეთრი კარკასი-მოლი'!F23</f>
        <v>134.4</v>
      </c>
      <c r="G23" s="212"/>
      <c r="H23" s="294"/>
      <c r="I23" s="212"/>
      <c r="J23" s="294"/>
      <c r="K23" s="131"/>
      <c r="L23" s="138"/>
      <c r="M23" s="138"/>
      <c r="O23" s="179"/>
      <c r="P23" s="271"/>
    </row>
    <row r="24" spans="1:16" s="451" customFormat="1" ht="15.75" outlineLevel="1">
      <c r="A24" s="90"/>
      <c r="B24" s="347"/>
      <c r="C24" s="345" t="str">
        <f>'4- თეთრი კარკასი-მოლი'!C24</f>
        <v>დონე +14.98 (+3 სართული)</v>
      </c>
      <c r="D24" s="308" t="s">
        <v>17</v>
      </c>
      <c r="E24" s="96"/>
      <c r="F24" s="308">
        <f>'4- თეთრი კარკასი-მოლი'!F24</f>
        <v>134.4</v>
      </c>
      <c r="G24" s="212"/>
      <c r="H24" s="294"/>
      <c r="I24" s="212"/>
      <c r="J24" s="294"/>
      <c r="K24" s="131"/>
      <c r="L24" s="138"/>
      <c r="M24" s="138"/>
      <c r="O24" s="179"/>
      <c r="P24" s="271"/>
    </row>
    <row r="25" spans="1:16" s="451" customFormat="1" ht="15.75" outlineLevel="1">
      <c r="A25" s="90"/>
      <c r="B25" s="347"/>
      <c r="C25" s="345" t="str">
        <f>'4- თეთრი კარკასი-მოლი'!C25</f>
        <v>დონე +14.98 (+4 სართული)</v>
      </c>
      <c r="D25" s="308" t="s">
        <v>17</v>
      </c>
      <c r="E25" s="96"/>
      <c r="F25" s="308">
        <f>'4- თეთრი კარკასი-მოლი'!F25</f>
        <v>67.4</v>
      </c>
      <c r="G25" s="212"/>
      <c r="H25" s="294"/>
      <c r="I25" s="212"/>
      <c r="J25" s="294"/>
      <c r="K25" s="131"/>
      <c r="L25" s="138"/>
      <c r="M25" s="138"/>
      <c r="O25" s="179"/>
      <c r="P25" s="271"/>
    </row>
    <row r="26" spans="1:16" ht="15.75">
      <c r="A26" s="91"/>
      <c r="B26" s="349"/>
      <c r="C26" s="310" t="s">
        <v>187</v>
      </c>
      <c r="D26" s="328" t="s">
        <v>142</v>
      </c>
      <c r="E26" s="305">
        <v>6</v>
      </c>
      <c r="F26" s="301">
        <f>$F$20*E26</f>
        <v>2822.3999999999996</v>
      </c>
      <c r="G26" s="315">
        <f>O26/$K$4</f>
        <v>0</v>
      </c>
      <c r="H26" s="313">
        <f>F26*G26</f>
        <v>0</v>
      </c>
      <c r="I26" s="214"/>
      <c r="J26" s="313"/>
      <c r="K26" s="131">
        <f aca="true" t="shared" si="0" ref="K26:K32">H26+J26</f>
        <v>0</v>
      </c>
      <c r="L26" s="139"/>
      <c r="M26" s="139"/>
      <c r="O26" s="176"/>
      <c r="P26" s="269"/>
    </row>
    <row r="27" spans="1:16" ht="15.75">
      <c r="A27" s="91"/>
      <c r="B27" s="349"/>
      <c r="C27" s="310" t="s">
        <v>188</v>
      </c>
      <c r="D27" s="260" t="s">
        <v>81</v>
      </c>
      <c r="E27" s="305">
        <v>1.05</v>
      </c>
      <c r="F27" s="301">
        <f>$F$20*E27</f>
        <v>493.92</v>
      </c>
      <c r="G27" s="315">
        <f>O27/$K$4</f>
        <v>0</v>
      </c>
      <c r="H27" s="313">
        <f>F27*G27</f>
        <v>0</v>
      </c>
      <c r="I27" s="214"/>
      <c r="J27" s="313"/>
      <c r="K27" s="131">
        <f t="shared" si="0"/>
        <v>0</v>
      </c>
      <c r="L27" s="139"/>
      <c r="M27" s="139"/>
      <c r="O27" s="176"/>
      <c r="P27" s="269"/>
    </row>
    <row r="28" spans="1:16" ht="10.8" thickBot="1">
      <c r="A28" s="91"/>
      <c r="B28" s="349"/>
      <c r="C28" s="310" t="s">
        <v>33</v>
      </c>
      <c r="D28" s="260"/>
      <c r="E28" s="305">
        <v>1</v>
      </c>
      <c r="F28" s="301">
        <f>$F$20*E28</f>
        <v>470.4</v>
      </c>
      <c r="G28" s="315">
        <f>O28/$K$4</f>
        <v>0</v>
      </c>
      <c r="H28" s="313">
        <f>F28*G28</f>
        <v>0</v>
      </c>
      <c r="I28" s="214"/>
      <c r="J28" s="313"/>
      <c r="K28" s="131">
        <f t="shared" si="0"/>
        <v>0</v>
      </c>
      <c r="L28" s="140"/>
      <c r="M28" s="140"/>
      <c r="O28" s="176"/>
      <c r="P28" s="269"/>
    </row>
    <row r="29" spans="1:16" s="451" customFormat="1" ht="15.75">
      <c r="A29" s="445">
        <v>3</v>
      </c>
      <c r="B29" s="346"/>
      <c r="C29" s="344" t="s">
        <v>186</v>
      </c>
      <c r="D29" s="306" t="s">
        <v>17</v>
      </c>
      <c r="E29" s="303"/>
      <c r="F29" s="300">
        <f>'4- თეთრი კარკასი-მოლი'!F30</f>
        <v>5737.8</v>
      </c>
      <c r="G29" s="340"/>
      <c r="H29" s="338"/>
      <c r="I29" s="343">
        <f>P29/$K$4</f>
        <v>0</v>
      </c>
      <c r="J29" s="338">
        <f>F29*I29</f>
        <v>0</v>
      </c>
      <c r="K29" s="130">
        <f t="shared" si="0"/>
        <v>0</v>
      </c>
      <c r="L29" s="137">
        <f>SUM(K29:K32)</f>
        <v>0</v>
      </c>
      <c r="M29" s="137">
        <f>L29/F29</f>
        <v>0</v>
      </c>
      <c r="O29" s="170"/>
      <c r="P29" s="272"/>
    </row>
    <row r="30" spans="1:16" ht="15.75">
      <c r="A30" s="91"/>
      <c r="B30" s="349"/>
      <c r="C30" s="310" t="s">
        <v>189</v>
      </c>
      <c r="D30" s="328" t="s">
        <v>142</v>
      </c>
      <c r="E30" s="305">
        <v>6</v>
      </c>
      <c r="F30" s="301">
        <f>$F$29*E30</f>
        <v>34426.8</v>
      </c>
      <c r="G30" s="315">
        <f>O30/$K$4</f>
        <v>0</v>
      </c>
      <c r="H30" s="313">
        <f>F30*G30</f>
        <v>0</v>
      </c>
      <c r="I30" s="214"/>
      <c r="J30" s="313"/>
      <c r="K30" s="131">
        <f t="shared" si="0"/>
        <v>0</v>
      </c>
      <c r="L30" s="139"/>
      <c r="M30" s="139"/>
      <c r="O30" s="176"/>
      <c r="P30" s="269"/>
    </row>
    <row r="31" spans="1:16" ht="15.75">
      <c r="A31" s="91"/>
      <c r="B31" s="349"/>
      <c r="C31" s="310" t="s">
        <v>190</v>
      </c>
      <c r="D31" s="260" t="s">
        <v>81</v>
      </c>
      <c r="E31" s="305">
        <v>1.05</v>
      </c>
      <c r="F31" s="301">
        <f>$F$29*E31</f>
        <v>6024.6900000000005</v>
      </c>
      <c r="G31" s="315">
        <f>O31/$K$4</f>
        <v>0</v>
      </c>
      <c r="H31" s="313">
        <f>F31*G31</f>
        <v>0</v>
      </c>
      <c r="I31" s="214"/>
      <c r="J31" s="313"/>
      <c r="K31" s="131">
        <f t="shared" si="0"/>
        <v>0</v>
      </c>
      <c r="L31" s="139"/>
      <c r="M31" s="139"/>
      <c r="O31" s="176"/>
      <c r="P31" s="269"/>
    </row>
    <row r="32" spans="1:16" ht="10.8" thickBot="1">
      <c r="A32" s="91"/>
      <c r="B32" s="349"/>
      <c r="C32" s="310" t="s">
        <v>33</v>
      </c>
      <c r="D32" s="260"/>
      <c r="E32" s="305">
        <v>1</v>
      </c>
      <c r="F32" s="301">
        <f>$F$29*E32</f>
        <v>5737.8</v>
      </c>
      <c r="G32" s="315">
        <f>O32/$K$4</f>
        <v>0</v>
      </c>
      <c r="H32" s="313">
        <f>F32*G32</f>
        <v>0</v>
      </c>
      <c r="I32" s="214"/>
      <c r="J32" s="313"/>
      <c r="K32" s="131">
        <f t="shared" si="0"/>
        <v>0</v>
      </c>
      <c r="L32" s="140"/>
      <c r="M32" s="140"/>
      <c r="O32" s="176"/>
      <c r="P32" s="269"/>
    </row>
    <row r="33" spans="1:16" ht="10.8" thickBot="1">
      <c r="A33" s="288"/>
      <c r="B33" s="54"/>
      <c r="C33" s="54"/>
      <c r="D33" s="286"/>
      <c r="E33" s="288"/>
      <c r="F33" s="54"/>
      <c r="G33" s="331"/>
      <c r="H33" s="129"/>
      <c r="I33" s="331"/>
      <c r="J33" s="129"/>
      <c r="K33" s="129"/>
      <c r="L33" s="129"/>
      <c r="M33" s="129"/>
      <c r="O33" s="177"/>
      <c r="P33" s="270"/>
    </row>
    <row r="34" spans="1:14" ht="27.75" customHeight="1" thickBot="1">
      <c r="A34" s="850" t="s">
        <v>35</v>
      </c>
      <c r="B34" s="851"/>
      <c r="C34" s="851"/>
      <c r="D34" s="851"/>
      <c r="E34" s="851"/>
      <c r="F34" s="851"/>
      <c r="G34" s="851"/>
      <c r="H34" s="851"/>
      <c r="I34" s="851"/>
      <c r="J34" s="851"/>
      <c r="K34" s="851"/>
      <c r="L34" s="851"/>
      <c r="M34" s="851"/>
      <c r="N34" s="206"/>
    </row>
    <row r="35" spans="1:16" s="451" customFormat="1" ht="15.75">
      <c r="A35" s="445">
        <v>4</v>
      </c>
      <c r="B35" s="324"/>
      <c r="C35" s="344" t="s">
        <v>191</v>
      </c>
      <c r="D35" s="306" t="s">
        <v>81</v>
      </c>
      <c r="E35" s="303"/>
      <c r="F35" s="300">
        <f>SUM(F36:F39)</f>
        <v>1077.12</v>
      </c>
      <c r="G35" s="340"/>
      <c r="H35" s="338"/>
      <c r="I35" s="343">
        <f>P35/$K$4</f>
        <v>0</v>
      </c>
      <c r="J35" s="338">
        <f>F35*I35</f>
        <v>0</v>
      </c>
      <c r="K35" s="130">
        <f>H35+J35</f>
        <v>0</v>
      </c>
      <c r="L35" s="137">
        <f>SUM(K35:K44)</f>
        <v>0</v>
      </c>
      <c r="M35" s="137">
        <f>L35/F35</f>
        <v>0</v>
      </c>
      <c r="O35" s="170"/>
      <c r="P35" s="363"/>
    </row>
    <row r="36" spans="1:16" s="451" customFormat="1" ht="15.75" outlineLevel="1">
      <c r="A36" s="90"/>
      <c r="B36" s="347"/>
      <c r="C36" s="345" t="str">
        <f>C21</f>
        <v>დონე +0.00 (0 სართული)</v>
      </c>
      <c r="D36" s="308"/>
      <c r="E36" s="96"/>
      <c r="F36" s="308">
        <f>44*3.6</f>
        <v>158.4</v>
      </c>
      <c r="G36" s="212"/>
      <c r="H36" s="294"/>
      <c r="I36" s="212"/>
      <c r="J36" s="294"/>
      <c r="K36" s="131"/>
      <c r="L36" s="138"/>
      <c r="M36" s="138"/>
      <c r="O36" s="179"/>
      <c r="P36" s="271"/>
    </row>
    <row r="37" spans="1:16" s="451" customFormat="1" ht="15.75" outlineLevel="1">
      <c r="A37" s="90"/>
      <c r="B37" s="347"/>
      <c r="C37" s="345" t="str">
        <f>C22</f>
        <v>დონე +4.38 (+1 სართული)</v>
      </c>
      <c r="D37" s="308"/>
      <c r="E37" s="96"/>
      <c r="F37" s="308">
        <f>75.6*3.6</f>
        <v>272.15999999999997</v>
      </c>
      <c r="G37" s="212"/>
      <c r="H37" s="294"/>
      <c r="I37" s="212"/>
      <c r="J37" s="294"/>
      <c r="K37" s="131"/>
      <c r="L37" s="138"/>
      <c r="M37" s="138"/>
      <c r="O37" s="179"/>
      <c r="P37" s="271"/>
    </row>
    <row r="38" spans="1:16" s="451" customFormat="1" ht="15.75" outlineLevel="1">
      <c r="A38" s="90"/>
      <c r="B38" s="347"/>
      <c r="C38" s="345" t="str">
        <f>C23</f>
        <v>დონე +9.68 (+2 სართული)</v>
      </c>
      <c r="D38" s="308"/>
      <c r="E38" s="96"/>
      <c r="F38" s="308">
        <f>92.6*3.6</f>
        <v>333.36</v>
      </c>
      <c r="G38" s="212"/>
      <c r="H38" s="294"/>
      <c r="I38" s="212"/>
      <c r="J38" s="294"/>
      <c r="K38" s="131"/>
      <c r="L38" s="138"/>
      <c r="M38" s="138"/>
      <c r="O38" s="179"/>
      <c r="P38" s="271"/>
    </row>
    <row r="39" spans="1:16" s="451" customFormat="1" ht="15.75" outlineLevel="1">
      <c r="A39" s="90"/>
      <c r="B39" s="347"/>
      <c r="C39" s="345" t="str">
        <f>C24</f>
        <v>დონე +14.98 (+3 სართული)</v>
      </c>
      <c r="D39" s="308"/>
      <c r="E39" s="96"/>
      <c r="F39" s="308">
        <f>87*3.6</f>
        <v>313.2</v>
      </c>
      <c r="G39" s="212"/>
      <c r="H39" s="294"/>
      <c r="I39" s="212"/>
      <c r="J39" s="294"/>
      <c r="K39" s="131"/>
      <c r="L39" s="138"/>
      <c r="M39" s="138"/>
      <c r="O39" s="179"/>
      <c r="P39" s="271"/>
    </row>
    <row r="40" spans="1:16" s="451" customFormat="1" ht="15.75" outlineLevel="1">
      <c r="A40" s="90"/>
      <c r="B40" s="347"/>
      <c r="C40" s="310" t="s">
        <v>141</v>
      </c>
      <c r="D40" s="260" t="s">
        <v>142</v>
      </c>
      <c r="E40" s="305">
        <v>0.83</v>
      </c>
      <c r="F40" s="312">
        <f>E40*F35</f>
        <v>894.0095999999999</v>
      </c>
      <c r="G40" s="315">
        <f>O40/$K$4</f>
        <v>0</v>
      </c>
      <c r="H40" s="313">
        <f>F40*G40</f>
        <v>0</v>
      </c>
      <c r="I40" s="214"/>
      <c r="J40" s="313"/>
      <c r="K40" s="131">
        <f aca="true" t="shared" si="1" ref="K40:K42">H40+J40</f>
        <v>0</v>
      </c>
      <c r="L40" s="138"/>
      <c r="M40" s="138"/>
      <c r="O40" s="259"/>
      <c r="P40" s="271"/>
    </row>
    <row r="41" spans="1:16" ht="15.75">
      <c r="A41" s="91"/>
      <c r="B41" s="94"/>
      <c r="C41" s="310" t="s">
        <v>143</v>
      </c>
      <c r="D41" s="307" t="s">
        <v>66</v>
      </c>
      <c r="E41" s="305">
        <v>1.2</v>
      </c>
      <c r="F41" s="301">
        <f>E41*F35</f>
        <v>1292.5439999999999</v>
      </c>
      <c r="G41" s="315">
        <f>O41/$K$4</f>
        <v>0</v>
      </c>
      <c r="H41" s="313">
        <f>F41*G41</f>
        <v>0</v>
      </c>
      <c r="I41" s="214"/>
      <c r="J41" s="313"/>
      <c r="K41" s="131">
        <f t="shared" si="1"/>
        <v>0</v>
      </c>
      <c r="L41" s="139"/>
      <c r="M41" s="139"/>
      <c r="O41" s="259"/>
      <c r="P41" s="269"/>
    </row>
    <row r="42" spans="1:16" ht="15.75">
      <c r="A42" s="91"/>
      <c r="B42" s="94"/>
      <c r="C42" s="310" t="s">
        <v>144</v>
      </c>
      <c r="D42" s="307" t="s">
        <v>145</v>
      </c>
      <c r="E42" s="305">
        <f>18/100</f>
        <v>0.18</v>
      </c>
      <c r="F42" s="301">
        <f>E42*F35</f>
        <v>193.88159999999996</v>
      </c>
      <c r="G42" s="315">
        <f>O42/$K$4</f>
        <v>0</v>
      </c>
      <c r="H42" s="313">
        <f>F42*G42</f>
        <v>0</v>
      </c>
      <c r="I42" s="214"/>
      <c r="J42" s="313"/>
      <c r="K42" s="131">
        <f t="shared" si="1"/>
        <v>0</v>
      </c>
      <c r="L42" s="139"/>
      <c r="M42" s="139"/>
      <c r="O42" s="259"/>
      <c r="P42" s="269"/>
    </row>
    <row r="43" spans="1:16" ht="15.75">
      <c r="A43" s="91"/>
      <c r="B43" s="94"/>
      <c r="C43" s="310" t="s">
        <v>146</v>
      </c>
      <c r="D43" s="307" t="s">
        <v>142</v>
      </c>
      <c r="E43" s="305">
        <v>0.5</v>
      </c>
      <c r="F43" s="301">
        <f>E43*F35</f>
        <v>538.56</v>
      </c>
      <c r="G43" s="315">
        <f aca="true" t="shared" si="2" ref="G43:G44">O43/$K$4</f>
        <v>0</v>
      </c>
      <c r="H43" s="313">
        <f aca="true" t="shared" si="3" ref="H43:H44">F43*G43</f>
        <v>0</v>
      </c>
      <c r="I43" s="214"/>
      <c r="J43" s="313"/>
      <c r="K43" s="131">
        <f aca="true" t="shared" si="4" ref="K43:K44">H43+J43</f>
        <v>0</v>
      </c>
      <c r="L43" s="139"/>
      <c r="M43" s="139"/>
      <c r="O43" s="259"/>
      <c r="P43" s="269"/>
    </row>
    <row r="44" spans="1:16" ht="10.8" thickBot="1">
      <c r="A44" s="91"/>
      <c r="B44" s="94"/>
      <c r="C44" s="310" t="s">
        <v>33</v>
      </c>
      <c r="D44" s="307"/>
      <c r="E44" s="305">
        <v>1</v>
      </c>
      <c r="F44" s="301">
        <f>E44*F35</f>
        <v>1077.12</v>
      </c>
      <c r="G44" s="315">
        <f t="shared" si="2"/>
        <v>0</v>
      </c>
      <c r="H44" s="313">
        <f t="shared" si="3"/>
        <v>0</v>
      </c>
      <c r="I44" s="214"/>
      <c r="J44" s="313"/>
      <c r="K44" s="131">
        <f t="shared" si="4"/>
        <v>0</v>
      </c>
      <c r="L44" s="139"/>
      <c r="M44" s="139"/>
      <c r="O44" s="259"/>
      <c r="P44" s="269"/>
    </row>
    <row r="45" spans="1:16" s="451" customFormat="1" ht="15.75">
      <c r="A45" s="445">
        <v>5</v>
      </c>
      <c r="B45" s="324"/>
      <c r="C45" s="344" t="s">
        <v>193</v>
      </c>
      <c r="D45" s="306" t="s">
        <v>81</v>
      </c>
      <c r="E45" s="303"/>
      <c r="F45" s="300">
        <f>SUM(F46:F49)</f>
        <v>466.56</v>
      </c>
      <c r="G45" s="340"/>
      <c r="H45" s="338"/>
      <c r="I45" s="343">
        <f>P45/$K$4</f>
        <v>0</v>
      </c>
      <c r="J45" s="338">
        <f>F45*I45</f>
        <v>0</v>
      </c>
      <c r="K45" s="130">
        <f>H45+J45</f>
        <v>0</v>
      </c>
      <c r="L45" s="137">
        <f>SUM(K45:K54)</f>
        <v>0</v>
      </c>
      <c r="M45" s="137">
        <f>L45/F45</f>
        <v>0</v>
      </c>
      <c r="O45" s="170"/>
      <c r="P45" s="363"/>
    </row>
    <row r="46" spans="1:16" s="451" customFormat="1" ht="15.75" outlineLevel="1">
      <c r="A46" s="90"/>
      <c r="B46" s="347"/>
      <c r="C46" s="345" t="str">
        <f>C36</f>
        <v>დონე +0.00 (0 სართული)</v>
      </c>
      <c r="D46" s="308"/>
      <c r="E46" s="96"/>
      <c r="F46" s="308">
        <f>2.4*19*3.6</f>
        <v>164.16</v>
      </c>
      <c r="G46" s="212"/>
      <c r="H46" s="294"/>
      <c r="I46" s="212"/>
      <c r="J46" s="294"/>
      <c r="K46" s="131"/>
      <c r="L46" s="138"/>
      <c r="M46" s="138"/>
      <c r="O46" s="179"/>
      <c r="P46" s="271"/>
    </row>
    <row r="47" spans="1:16" s="451" customFormat="1" ht="15.75" outlineLevel="1">
      <c r="A47" s="90"/>
      <c r="B47" s="347"/>
      <c r="C47" s="345" t="str">
        <f aca="true" t="shared" si="5" ref="C47:C49">C37</f>
        <v>დონე +4.38 (+1 სართული)</v>
      </c>
      <c r="D47" s="308"/>
      <c r="E47" s="96"/>
      <c r="F47" s="308">
        <f>2.4*10*3.6</f>
        <v>86.4</v>
      </c>
      <c r="G47" s="212"/>
      <c r="H47" s="294"/>
      <c r="I47" s="212"/>
      <c r="J47" s="294"/>
      <c r="K47" s="131"/>
      <c r="L47" s="138"/>
      <c r="M47" s="138"/>
      <c r="O47" s="179"/>
      <c r="P47" s="271"/>
    </row>
    <row r="48" spans="1:16" s="451" customFormat="1" ht="15.75" outlineLevel="1">
      <c r="A48" s="90"/>
      <c r="B48" s="347"/>
      <c r="C48" s="345" t="str">
        <f t="shared" si="5"/>
        <v>დონე +9.68 (+2 სართული)</v>
      </c>
      <c r="D48" s="308"/>
      <c r="E48" s="96"/>
      <c r="F48" s="308">
        <f>2.4*20*3.6</f>
        <v>172.8</v>
      </c>
      <c r="G48" s="212"/>
      <c r="H48" s="294"/>
      <c r="I48" s="212"/>
      <c r="J48" s="294"/>
      <c r="K48" s="131"/>
      <c r="L48" s="138"/>
      <c r="M48" s="138"/>
      <c r="O48" s="179"/>
      <c r="P48" s="271"/>
    </row>
    <row r="49" spans="1:16" s="451" customFormat="1" ht="15.75" outlineLevel="1">
      <c r="A49" s="90"/>
      <c r="B49" s="347"/>
      <c r="C49" s="345" t="str">
        <f t="shared" si="5"/>
        <v>დონე +14.98 (+3 სართული)</v>
      </c>
      <c r="D49" s="308"/>
      <c r="E49" s="96"/>
      <c r="F49" s="308">
        <f>2.4*5*3.6</f>
        <v>43.2</v>
      </c>
      <c r="G49" s="212"/>
      <c r="H49" s="294"/>
      <c r="I49" s="212"/>
      <c r="J49" s="294"/>
      <c r="K49" s="131"/>
      <c r="L49" s="138"/>
      <c r="M49" s="138"/>
      <c r="O49" s="179"/>
      <c r="P49" s="271"/>
    </row>
    <row r="50" spans="1:16" s="451" customFormat="1" ht="15.75" outlineLevel="1">
      <c r="A50" s="90"/>
      <c r="B50" s="347"/>
      <c r="C50" s="310" t="s">
        <v>141</v>
      </c>
      <c r="D50" s="260" t="s">
        <v>142</v>
      </c>
      <c r="E50" s="305">
        <v>0.83</v>
      </c>
      <c r="F50" s="312">
        <f>E50*F45</f>
        <v>387.2448</v>
      </c>
      <c r="G50" s="315">
        <f>O50/$K$4</f>
        <v>0</v>
      </c>
      <c r="H50" s="313">
        <f>F50*G50</f>
        <v>0</v>
      </c>
      <c r="I50" s="214"/>
      <c r="J50" s="313"/>
      <c r="K50" s="131">
        <f aca="true" t="shared" si="6" ref="K50:K54">H50+J50</f>
        <v>0</v>
      </c>
      <c r="L50" s="138"/>
      <c r="M50" s="138"/>
      <c r="O50" s="259"/>
      <c r="P50" s="271"/>
    </row>
    <row r="51" spans="1:16" ht="15.75">
      <c r="A51" s="91"/>
      <c r="B51" s="94"/>
      <c r="C51" s="310" t="s">
        <v>143</v>
      </c>
      <c r="D51" s="307" t="s">
        <v>66</v>
      </c>
      <c r="E51" s="305">
        <v>1.2</v>
      </c>
      <c r="F51" s="301">
        <f>E51*F45</f>
        <v>559.872</v>
      </c>
      <c r="G51" s="315">
        <f>O51/$K$4</f>
        <v>0</v>
      </c>
      <c r="H51" s="313">
        <f>F51*G51</f>
        <v>0</v>
      </c>
      <c r="I51" s="214"/>
      <c r="J51" s="313"/>
      <c r="K51" s="131">
        <f t="shared" si="6"/>
        <v>0</v>
      </c>
      <c r="L51" s="139"/>
      <c r="M51" s="139"/>
      <c r="O51" s="259"/>
      <c r="P51" s="269"/>
    </row>
    <row r="52" spans="1:16" ht="15.75">
      <c r="A52" s="91"/>
      <c r="B52" s="94"/>
      <c r="C52" s="310" t="s">
        <v>144</v>
      </c>
      <c r="D52" s="307" t="s">
        <v>145</v>
      </c>
      <c r="E52" s="305">
        <f>18/100</f>
        <v>0.18</v>
      </c>
      <c r="F52" s="301">
        <f>E52*F45</f>
        <v>83.9808</v>
      </c>
      <c r="G52" s="315">
        <f>O52/$K$4</f>
        <v>0</v>
      </c>
      <c r="H52" s="313">
        <f>F52*G52</f>
        <v>0</v>
      </c>
      <c r="I52" s="214"/>
      <c r="J52" s="313"/>
      <c r="K52" s="131">
        <f t="shared" si="6"/>
        <v>0</v>
      </c>
      <c r="L52" s="139"/>
      <c r="M52" s="139"/>
      <c r="O52" s="259"/>
      <c r="P52" s="269"/>
    </row>
    <row r="53" spans="1:16" ht="15.75">
      <c r="A53" s="91"/>
      <c r="B53" s="94"/>
      <c r="C53" s="310" t="s">
        <v>146</v>
      </c>
      <c r="D53" s="307" t="s">
        <v>142</v>
      </c>
      <c r="E53" s="305">
        <v>0.5</v>
      </c>
      <c r="F53" s="301">
        <f>E53*F45</f>
        <v>233.28</v>
      </c>
      <c r="G53" s="315">
        <f aca="true" t="shared" si="7" ref="G53:G54">O53/$K$4</f>
        <v>0</v>
      </c>
      <c r="H53" s="313">
        <f aca="true" t="shared" si="8" ref="H53:H54">F53*G53</f>
        <v>0</v>
      </c>
      <c r="I53" s="214"/>
      <c r="J53" s="313"/>
      <c r="K53" s="131">
        <f t="shared" si="6"/>
        <v>0</v>
      </c>
      <c r="L53" s="139"/>
      <c r="M53" s="139"/>
      <c r="O53" s="259"/>
      <c r="P53" s="269"/>
    </row>
    <row r="54" spans="1:16" ht="10.8" thickBot="1">
      <c r="A54" s="91"/>
      <c r="B54" s="94"/>
      <c r="C54" s="310" t="s">
        <v>33</v>
      </c>
      <c r="D54" s="307"/>
      <c r="E54" s="305">
        <v>1</v>
      </c>
      <c r="F54" s="301">
        <f>E54*F45</f>
        <v>466.56</v>
      </c>
      <c r="G54" s="315">
        <f t="shared" si="7"/>
        <v>0</v>
      </c>
      <c r="H54" s="313">
        <f t="shared" si="8"/>
        <v>0</v>
      </c>
      <c r="I54" s="214"/>
      <c r="J54" s="313"/>
      <c r="K54" s="131">
        <f t="shared" si="6"/>
        <v>0</v>
      </c>
      <c r="L54" s="139"/>
      <c r="M54" s="139"/>
      <c r="O54" s="259"/>
      <c r="P54" s="269"/>
    </row>
    <row r="55" spans="1:16" s="451" customFormat="1" ht="15.75">
      <c r="A55" s="445">
        <v>7</v>
      </c>
      <c r="B55" s="346"/>
      <c r="C55" s="344" t="s">
        <v>185</v>
      </c>
      <c r="D55" s="306" t="s">
        <v>17</v>
      </c>
      <c r="E55" s="303"/>
      <c r="F55" s="300">
        <f>SUM(F56:F59)</f>
        <v>1262.6</v>
      </c>
      <c r="G55" s="340"/>
      <c r="H55" s="338"/>
      <c r="I55" s="343">
        <f>P55/$K$4</f>
        <v>0</v>
      </c>
      <c r="J55" s="338">
        <f>F55*I55</f>
        <v>0</v>
      </c>
      <c r="K55" s="130">
        <f>H55+J55</f>
        <v>0</v>
      </c>
      <c r="L55" s="137">
        <f>SUM(K55:K62)</f>
        <v>0</v>
      </c>
      <c r="M55" s="137">
        <f>L55/F55</f>
        <v>0</v>
      </c>
      <c r="O55" s="170"/>
      <c r="P55" s="272"/>
    </row>
    <row r="56" spans="1:16" s="451" customFormat="1" ht="15.75" outlineLevel="1">
      <c r="A56" s="90"/>
      <c r="B56" s="347"/>
      <c r="C56" s="345" t="str">
        <f>C46</f>
        <v>დონე +0.00 (0 სართული)</v>
      </c>
      <c r="D56" s="308" t="s">
        <v>17</v>
      </c>
      <c r="E56" s="96"/>
      <c r="F56" s="308">
        <f>181.4</f>
        <v>181.4</v>
      </c>
      <c r="G56" s="212"/>
      <c r="H56" s="294"/>
      <c r="I56" s="212"/>
      <c r="J56" s="294"/>
      <c r="K56" s="131"/>
      <c r="L56" s="138"/>
      <c r="M56" s="138"/>
      <c r="O56" s="179"/>
      <c r="P56" s="271"/>
    </row>
    <row r="57" spans="1:16" s="451" customFormat="1" ht="15.75" outlineLevel="1">
      <c r="A57" s="90"/>
      <c r="B57" s="347"/>
      <c r="C57" s="345" t="str">
        <f>C47</f>
        <v>დონე +4.38 (+1 სართული)</v>
      </c>
      <c r="D57" s="308" t="s">
        <v>17</v>
      </c>
      <c r="E57" s="96"/>
      <c r="F57" s="308">
        <f aca="true" t="shared" si="9" ref="F57:F59">181.4+179</f>
        <v>360.4</v>
      </c>
      <c r="G57" s="212"/>
      <c r="H57" s="294"/>
      <c r="I57" s="212"/>
      <c r="J57" s="294"/>
      <c r="K57" s="131"/>
      <c r="L57" s="138"/>
      <c r="M57" s="138"/>
      <c r="O57" s="179"/>
      <c r="P57" s="271"/>
    </row>
    <row r="58" spans="1:16" s="451" customFormat="1" ht="15.75" outlineLevel="1">
      <c r="A58" s="90"/>
      <c r="B58" s="347"/>
      <c r="C58" s="345" t="str">
        <f>C48</f>
        <v>დონე +9.68 (+2 სართული)</v>
      </c>
      <c r="D58" s="308" t="s">
        <v>17</v>
      </c>
      <c r="E58" s="96"/>
      <c r="F58" s="308">
        <f t="shared" si="9"/>
        <v>360.4</v>
      </c>
      <c r="G58" s="212"/>
      <c r="H58" s="294"/>
      <c r="I58" s="212"/>
      <c r="J58" s="294"/>
      <c r="K58" s="131"/>
      <c r="L58" s="138"/>
      <c r="M58" s="138"/>
      <c r="O58" s="179"/>
      <c r="P58" s="271"/>
    </row>
    <row r="59" spans="1:16" s="451" customFormat="1" ht="15.75" outlineLevel="1">
      <c r="A59" s="90"/>
      <c r="B59" s="347"/>
      <c r="C59" s="345" t="str">
        <f>C49</f>
        <v>დონე +14.98 (+3 სართული)</v>
      </c>
      <c r="D59" s="308" t="s">
        <v>17</v>
      </c>
      <c r="E59" s="96"/>
      <c r="F59" s="308">
        <f t="shared" si="9"/>
        <v>360.4</v>
      </c>
      <c r="G59" s="212"/>
      <c r="H59" s="294"/>
      <c r="I59" s="212"/>
      <c r="J59" s="294"/>
      <c r="K59" s="131"/>
      <c r="L59" s="138"/>
      <c r="M59" s="138"/>
      <c r="O59" s="179"/>
      <c r="P59" s="271"/>
    </row>
    <row r="60" spans="1:16" ht="15.75">
      <c r="A60" s="91"/>
      <c r="B60" s="349"/>
      <c r="C60" s="310" t="s">
        <v>187</v>
      </c>
      <c r="D60" s="328" t="s">
        <v>142</v>
      </c>
      <c r="E60" s="305">
        <v>6</v>
      </c>
      <c r="F60" s="301">
        <f>E60*F55</f>
        <v>7575.599999999999</v>
      </c>
      <c r="G60" s="315">
        <f>O60/$K$4</f>
        <v>0</v>
      </c>
      <c r="H60" s="313">
        <f>F60*G60</f>
        <v>0</v>
      </c>
      <c r="I60" s="214"/>
      <c r="J60" s="313"/>
      <c r="K60" s="131">
        <f aca="true" t="shared" si="10" ref="K60:K62">H60+J60</f>
        <v>0</v>
      </c>
      <c r="L60" s="139"/>
      <c r="M60" s="139"/>
      <c r="O60" s="176"/>
      <c r="P60" s="269"/>
    </row>
    <row r="61" spans="1:16" ht="15.75">
      <c r="A61" s="91"/>
      <c r="B61" s="349"/>
      <c r="C61" s="310" t="s">
        <v>188</v>
      </c>
      <c r="D61" s="260" t="s">
        <v>81</v>
      </c>
      <c r="E61" s="305">
        <v>1.05</v>
      </c>
      <c r="F61" s="301">
        <f>E61*F55</f>
        <v>1325.73</v>
      </c>
      <c r="G61" s="315">
        <f>O61/$K$4</f>
        <v>0</v>
      </c>
      <c r="H61" s="313">
        <f>F61*G61</f>
        <v>0</v>
      </c>
      <c r="I61" s="214"/>
      <c r="J61" s="313"/>
      <c r="K61" s="131">
        <f t="shared" si="10"/>
        <v>0</v>
      </c>
      <c r="L61" s="139"/>
      <c r="M61" s="139"/>
      <c r="O61" s="176"/>
      <c r="P61" s="269"/>
    </row>
    <row r="62" spans="1:16" ht="10.8" thickBot="1">
      <c r="A62" s="91"/>
      <c r="B62" s="349"/>
      <c r="C62" s="310" t="s">
        <v>33</v>
      </c>
      <c r="D62" s="260"/>
      <c r="E62" s="305">
        <v>1</v>
      </c>
      <c r="F62" s="301">
        <f>E62*F55</f>
        <v>1262.6</v>
      </c>
      <c r="G62" s="315">
        <f>O62/$K$4</f>
        <v>0</v>
      </c>
      <c r="H62" s="313">
        <f>F62*G62</f>
        <v>0</v>
      </c>
      <c r="I62" s="214"/>
      <c r="J62" s="313"/>
      <c r="K62" s="131">
        <f t="shared" si="10"/>
        <v>0</v>
      </c>
      <c r="L62" s="140"/>
      <c r="M62" s="140"/>
      <c r="O62" s="176"/>
      <c r="P62" s="269"/>
    </row>
    <row r="63" spans="1:16" s="451" customFormat="1" ht="15.75">
      <c r="A63" s="445">
        <v>9</v>
      </c>
      <c r="B63" s="324"/>
      <c r="C63" s="344" t="s">
        <v>261</v>
      </c>
      <c r="D63" s="306" t="s">
        <v>73</v>
      </c>
      <c r="E63" s="303"/>
      <c r="F63" s="300">
        <v>83</v>
      </c>
      <c r="G63" s="340"/>
      <c r="H63" s="338"/>
      <c r="I63" s="343">
        <f>P63/$K$4</f>
        <v>0</v>
      </c>
      <c r="J63" s="338">
        <f>F63*I63</f>
        <v>0</v>
      </c>
      <c r="K63" s="130">
        <f>H63+J63</f>
        <v>0</v>
      </c>
      <c r="L63" s="137">
        <f>SUM(K63:K77)</f>
        <v>0</v>
      </c>
      <c r="M63" s="137">
        <f>L63/F63</f>
        <v>0</v>
      </c>
      <c r="O63" s="170"/>
      <c r="P63" s="363"/>
    </row>
    <row r="64" spans="1:16" s="451" customFormat="1" ht="10.8" outlineLevel="1" thickBot="1">
      <c r="A64" s="90"/>
      <c r="B64" s="347"/>
      <c r="C64" s="310" t="s">
        <v>192</v>
      </c>
      <c r="D64" s="260" t="s">
        <v>73</v>
      </c>
      <c r="E64" s="305">
        <v>1</v>
      </c>
      <c r="F64" s="312">
        <f>E64*F63</f>
        <v>83</v>
      </c>
      <c r="G64" s="315">
        <f>O64/$K$4</f>
        <v>0</v>
      </c>
      <c r="H64" s="313">
        <f>F64*G64</f>
        <v>0</v>
      </c>
      <c r="I64" s="214"/>
      <c r="J64" s="313"/>
      <c r="K64" s="131">
        <f aca="true" t="shared" si="11" ref="K64">H64+J64</f>
        <v>0</v>
      </c>
      <c r="L64" s="138"/>
      <c r="M64" s="138"/>
      <c r="O64" s="259"/>
      <c r="P64" s="271"/>
    </row>
    <row r="65" spans="1:16" s="451" customFormat="1" ht="15.75">
      <c r="A65" s="445">
        <v>11</v>
      </c>
      <c r="B65" s="324"/>
      <c r="C65" s="344" t="s">
        <v>197</v>
      </c>
      <c r="D65" s="306" t="s">
        <v>66</v>
      </c>
      <c r="E65" s="303"/>
      <c r="F65" s="300">
        <f>82*3+37</f>
        <v>283</v>
      </c>
      <c r="G65" s="340"/>
      <c r="H65" s="338"/>
      <c r="I65" s="343">
        <f>P65/$K$4</f>
        <v>0</v>
      </c>
      <c r="J65" s="338">
        <f>F65*I65</f>
        <v>0</v>
      </c>
      <c r="K65" s="130">
        <f>H65+J65</f>
        <v>0</v>
      </c>
      <c r="L65" s="137">
        <f>SUM(K65:K68)</f>
        <v>0</v>
      </c>
      <c r="M65" s="137">
        <f>L65/F65</f>
        <v>0</v>
      </c>
      <c r="O65" s="170"/>
      <c r="P65" s="363"/>
    </row>
    <row r="66" spans="1:16" s="451" customFormat="1" ht="15.75" outlineLevel="1">
      <c r="A66" s="90"/>
      <c r="B66" s="347"/>
      <c r="C66" s="310" t="s">
        <v>198</v>
      </c>
      <c r="D66" s="260" t="s">
        <v>81</v>
      </c>
      <c r="E66" s="305">
        <v>0.9</v>
      </c>
      <c r="F66" s="312">
        <f>E66*F65</f>
        <v>254.70000000000002</v>
      </c>
      <c r="G66" s="315">
        <f>O66/$K$4</f>
        <v>0</v>
      </c>
      <c r="H66" s="313">
        <f>F66*G66</f>
        <v>0</v>
      </c>
      <c r="I66" s="214"/>
      <c r="J66" s="313"/>
      <c r="K66" s="131">
        <f aca="true" t="shared" si="12" ref="K66:K68">H66+J66</f>
        <v>0</v>
      </c>
      <c r="L66" s="138"/>
      <c r="M66" s="138"/>
      <c r="O66" s="259"/>
      <c r="P66" s="271"/>
    </row>
    <row r="67" spans="1:16" s="451" customFormat="1" ht="15.75" outlineLevel="1">
      <c r="A67" s="90"/>
      <c r="B67" s="347"/>
      <c r="C67" s="310" t="s">
        <v>199</v>
      </c>
      <c r="D67" s="260" t="s">
        <v>81</v>
      </c>
      <c r="E67" s="305">
        <v>0.9</v>
      </c>
      <c r="F67" s="312">
        <f>E67*F65</f>
        <v>254.70000000000002</v>
      </c>
      <c r="G67" s="315">
        <f>O67/$K$4</f>
        <v>0</v>
      </c>
      <c r="H67" s="313">
        <f>F67*G67</f>
        <v>0</v>
      </c>
      <c r="I67" s="214"/>
      <c r="J67" s="313"/>
      <c r="K67" s="131">
        <f aca="true" t="shared" si="13" ref="K67">H67+J67</f>
        <v>0</v>
      </c>
      <c r="L67" s="138"/>
      <c r="M67" s="138"/>
      <c r="O67" s="259"/>
      <c r="P67" s="271"/>
    </row>
    <row r="68" spans="1:16" ht="10.8" thickBot="1">
      <c r="A68" s="91"/>
      <c r="B68" s="94"/>
      <c r="C68" s="310" t="s">
        <v>33</v>
      </c>
      <c r="D68" s="307"/>
      <c r="E68" s="305">
        <v>1</v>
      </c>
      <c r="F68" s="301">
        <f>E68*F65</f>
        <v>283</v>
      </c>
      <c r="G68" s="315">
        <f>O68/$K$4</f>
        <v>0</v>
      </c>
      <c r="H68" s="313">
        <f>F68*G68</f>
        <v>0</v>
      </c>
      <c r="I68" s="214"/>
      <c r="J68" s="313"/>
      <c r="K68" s="131">
        <f t="shared" si="12"/>
        <v>0</v>
      </c>
      <c r="L68" s="139"/>
      <c r="M68" s="139"/>
      <c r="O68" s="259"/>
      <c r="P68" s="269"/>
    </row>
    <row r="69" spans="1:16" s="451" customFormat="1" ht="15.75">
      <c r="A69" s="445">
        <v>12</v>
      </c>
      <c r="B69" s="324"/>
      <c r="C69" s="344" t="s">
        <v>255</v>
      </c>
      <c r="D69" s="306" t="s">
        <v>66</v>
      </c>
      <c r="E69" s="303"/>
      <c r="F69" s="300">
        <v>136.9</v>
      </c>
      <c r="G69" s="340"/>
      <c r="H69" s="338"/>
      <c r="I69" s="343">
        <f>P69/$K$4</f>
        <v>0</v>
      </c>
      <c r="J69" s="338">
        <f>F69*I69</f>
        <v>0</v>
      </c>
      <c r="K69" s="130">
        <f>H69+J69</f>
        <v>0</v>
      </c>
      <c r="L69" s="137">
        <f>SUM(K69:K72)</f>
        <v>0</v>
      </c>
      <c r="M69" s="137">
        <f>L69/F69</f>
        <v>0</v>
      </c>
      <c r="O69" s="170"/>
      <c r="P69" s="363"/>
    </row>
    <row r="70" spans="1:16" s="451" customFormat="1" ht="15.75" outlineLevel="1">
      <c r="A70" s="90"/>
      <c r="B70" s="347"/>
      <c r="C70" s="310" t="s">
        <v>256</v>
      </c>
      <c r="D70" s="260" t="s">
        <v>81</v>
      </c>
      <c r="E70" s="305">
        <v>0.9</v>
      </c>
      <c r="F70" s="312">
        <f>E70*F69</f>
        <v>123.21000000000001</v>
      </c>
      <c r="G70" s="315">
        <f>O70/$K$4</f>
        <v>0</v>
      </c>
      <c r="H70" s="313">
        <f>F70*G70</f>
        <v>0</v>
      </c>
      <c r="I70" s="214"/>
      <c r="J70" s="313"/>
      <c r="K70" s="131">
        <f aca="true" t="shared" si="14" ref="K70:K72">H70+J70</f>
        <v>0</v>
      </c>
      <c r="L70" s="138"/>
      <c r="M70" s="138"/>
      <c r="O70" s="259"/>
      <c r="P70" s="271"/>
    </row>
    <row r="71" spans="1:16" s="451" customFormat="1" ht="15.75" outlineLevel="1">
      <c r="A71" s="90"/>
      <c r="B71" s="347"/>
      <c r="C71" s="310" t="s">
        <v>37</v>
      </c>
      <c r="D71" s="260" t="s">
        <v>81</v>
      </c>
      <c r="E71" s="305">
        <v>0.9</v>
      </c>
      <c r="F71" s="312">
        <f>E71*F69</f>
        <v>123.21000000000001</v>
      </c>
      <c r="G71" s="315">
        <f>O71/$K$4</f>
        <v>0</v>
      </c>
      <c r="H71" s="313">
        <f>F71*G71</f>
        <v>0</v>
      </c>
      <c r="I71" s="214"/>
      <c r="J71" s="313"/>
      <c r="K71" s="131">
        <f t="shared" si="14"/>
        <v>0</v>
      </c>
      <c r="L71" s="138"/>
      <c r="M71" s="138"/>
      <c r="O71" s="259"/>
      <c r="P71" s="271"/>
    </row>
    <row r="72" spans="1:16" ht="10.8" thickBot="1">
      <c r="A72" s="91"/>
      <c r="B72" s="94"/>
      <c r="C72" s="310" t="s">
        <v>33</v>
      </c>
      <c r="D72" s="307"/>
      <c r="E72" s="305">
        <v>1</v>
      </c>
      <c r="F72" s="301">
        <f>E72*F69</f>
        <v>136.9</v>
      </c>
      <c r="G72" s="315">
        <f>O72/$K$4</f>
        <v>0</v>
      </c>
      <c r="H72" s="313">
        <f>F72*G72</f>
        <v>0</v>
      </c>
      <c r="I72" s="214"/>
      <c r="J72" s="313"/>
      <c r="K72" s="131">
        <f t="shared" si="14"/>
        <v>0</v>
      </c>
      <c r="L72" s="139"/>
      <c r="M72" s="139"/>
      <c r="O72" s="259"/>
      <c r="P72" s="269"/>
    </row>
    <row r="73" spans="1:16" s="451" customFormat="1" ht="15.75">
      <c r="A73" s="445">
        <v>13</v>
      </c>
      <c r="B73" s="324"/>
      <c r="C73" s="344" t="s">
        <v>259</v>
      </c>
      <c r="D73" s="306" t="s">
        <v>66</v>
      </c>
      <c r="E73" s="303"/>
      <c r="F73" s="300">
        <v>136.9</v>
      </c>
      <c r="G73" s="340"/>
      <c r="H73" s="338"/>
      <c r="I73" s="343">
        <f>P73/$K$4</f>
        <v>0</v>
      </c>
      <c r="J73" s="338">
        <f>F73*I73</f>
        <v>0</v>
      </c>
      <c r="K73" s="130">
        <f>H73+J73</f>
        <v>0</v>
      </c>
      <c r="L73" s="137">
        <f>SUM(K73:K75)</f>
        <v>0</v>
      </c>
      <c r="M73" s="137">
        <f>L73/F73</f>
        <v>0</v>
      </c>
      <c r="O73" s="170"/>
      <c r="P73" s="363"/>
    </row>
    <row r="74" spans="1:16" s="451" customFormat="1" ht="15.75" outlineLevel="1">
      <c r="A74" s="90"/>
      <c r="B74" s="347"/>
      <c r="C74" s="310" t="s">
        <v>260</v>
      </c>
      <c r="D74" s="260" t="s">
        <v>66</v>
      </c>
      <c r="E74" s="305">
        <v>1.05</v>
      </c>
      <c r="F74" s="312">
        <f>E74*F73</f>
        <v>143.745</v>
      </c>
      <c r="G74" s="315">
        <f>O74/$K$4</f>
        <v>0</v>
      </c>
      <c r="H74" s="313">
        <f>F74*G74</f>
        <v>0</v>
      </c>
      <c r="I74" s="214"/>
      <c r="J74" s="313"/>
      <c r="K74" s="131">
        <f aca="true" t="shared" si="15" ref="K74:K75">H74+J74</f>
        <v>0</v>
      </c>
      <c r="L74" s="138"/>
      <c r="M74" s="138"/>
      <c r="O74" s="259"/>
      <c r="P74" s="271"/>
    </row>
    <row r="75" spans="1:16" ht="10.8" thickBot="1">
      <c r="A75" s="91"/>
      <c r="B75" s="94"/>
      <c r="C75" s="310" t="s">
        <v>33</v>
      </c>
      <c r="D75" s="307"/>
      <c r="E75" s="305">
        <v>1</v>
      </c>
      <c r="F75" s="301">
        <f>E75*F73</f>
        <v>136.9</v>
      </c>
      <c r="G75" s="315">
        <f>O75/$K$4</f>
        <v>0</v>
      </c>
      <c r="H75" s="313">
        <f>F75*G75</f>
        <v>0</v>
      </c>
      <c r="I75" s="214"/>
      <c r="J75" s="313"/>
      <c r="K75" s="131">
        <f t="shared" si="15"/>
        <v>0</v>
      </c>
      <c r="L75" s="139"/>
      <c r="M75" s="139"/>
      <c r="O75" s="259"/>
      <c r="P75" s="269"/>
    </row>
    <row r="76" spans="1:16" ht="10.8" thickBot="1">
      <c r="A76" s="288"/>
      <c r="B76" s="288"/>
      <c r="C76" s="54"/>
      <c r="D76" s="288"/>
      <c r="E76" s="54"/>
      <c r="F76" s="288"/>
      <c r="G76" s="288"/>
      <c r="H76" s="52"/>
      <c r="I76" s="288"/>
      <c r="J76" s="52"/>
      <c r="K76" s="288"/>
      <c r="L76" s="52"/>
      <c r="M76" s="288"/>
      <c r="N76" s="186"/>
      <c r="O76" s="183"/>
      <c r="P76" s="270"/>
    </row>
    <row r="77" spans="1:14" ht="29.25" customHeight="1" thickBot="1">
      <c r="A77" s="850" t="s">
        <v>89</v>
      </c>
      <c r="B77" s="851"/>
      <c r="C77" s="851"/>
      <c r="D77" s="851"/>
      <c r="E77" s="851"/>
      <c r="F77" s="851"/>
      <c r="G77" s="851"/>
      <c r="H77" s="851"/>
      <c r="I77" s="851"/>
      <c r="J77" s="851"/>
      <c r="K77" s="851"/>
      <c r="L77" s="851"/>
      <c r="M77" s="851"/>
      <c r="N77" s="206"/>
    </row>
    <row r="78" spans="1:16" s="451" customFormat="1" ht="15.75">
      <c r="A78" s="445">
        <v>15</v>
      </c>
      <c r="B78" s="324"/>
      <c r="C78" s="344" t="s">
        <v>230</v>
      </c>
      <c r="D78" s="306" t="s">
        <v>81</v>
      </c>
      <c r="E78" s="303"/>
      <c r="F78" s="300">
        <f>SUM(F79:F83)</f>
        <v>537.8</v>
      </c>
      <c r="G78" s="340"/>
      <c r="H78" s="338"/>
      <c r="I78" s="343">
        <f>P78/$K$4</f>
        <v>0</v>
      </c>
      <c r="J78" s="338">
        <f>F78*I78</f>
        <v>0</v>
      </c>
      <c r="K78" s="130">
        <f>H78+J78</f>
        <v>0</v>
      </c>
      <c r="L78" s="137">
        <f>SUM(K78:K88)</f>
        <v>0</v>
      </c>
      <c r="M78" s="137">
        <f>L78/F78</f>
        <v>0</v>
      </c>
      <c r="O78" s="170"/>
      <c r="P78" s="363"/>
    </row>
    <row r="79" spans="1:16" s="451" customFormat="1" ht="15.75" outlineLevel="1">
      <c r="A79" s="90"/>
      <c r="B79" s="347"/>
      <c r="C79" s="345" t="str">
        <f>C21</f>
        <v>დონე +0.00 (0 სართული)</v>
      </c>
      <c r="D79" s="308"/>
      <c r="E79" s="96"/>
      <c r="F79" s="308">
        <f>F21</f>
        <v>67.2</v>
      </c>
      <c r="G79" s="212"/>
      <c r="H79" s="294"/>
      <c r="I79" s="212"/>
      <c r="J79" s="294"/>
      <c r="K79" s="131"/>
      <c r="L79" s="138"/>
      <c r="M79" s="138"/>
      <c r="O79" s="179"/>
      <c r="P79" s="271"/>
    </row>
    <row r="80" spans="1:16" s="451" customFormat="1" ht="15.75" outlineLevel="1">
      <c r="A80" s="90"/>
      <c r="B80" s="347"/>
      <c r="C80" s="345" t="str">
        <f>C22</f>
        <v>დონე +4.38 (+1 სართული)</v>
      </c>
      <c r="D80" s="308"/>
      <c r="E80" s="96"/>
      <c r="F80" s="308">
        <f>F22</f>
        <v>134.4</v>
      </c>
      <c r="G80" s="212"/>
      <c r="H80" s="294"/>
      <c r="I80" s="212"/>
      <c r="J80" s="294"/>
      <c r="K80" s="131"/>
      <c r="L80" s="138"/>
      <c r="M80" s="138"/>
      <c r="O80" s="179"/>
      <c r="P80" s="271"/>
    </row>
    <row r="81" spans="1:16" s="451" customFormat="1" ht="15.75" outlineLevel="1">
      <c r="A81" s="90"/>
      <c r="B81" s="347"/>
      <c r="C81" s="345" t="str">
        <f>C23</f>
        <v>დონე +9.68 (+2 სართული)</v>
      </c>
      <c r="D81" s="308"/>
      <c r="E81" s="96"/>
      <c r="F81" s="308">
        <f>F23</f>
        <v>134.4</v>
      </c>
      <c r="G81" s="212"/>
      <c r="H81" s="294"/>
      <c r="I81" s="212"/>
      <c r="J81" s="294"/>
      <c r="K81" s="131"/>
      <c r="L81" s="138"/>
      <c r="M81" s="138"/>
      <c r="O81" s="179"/>
      <c r="P81" s="271"/>
    </row>
    <row r="82" spans="1:16" s="451" customFormat="1" ht="15.75" outlineLevel="1">
      <c r="A82" s="90"/>
      <c r="B82" s="347"/>
      <c r="C82" s="345" t="str">
        <f>C24</f>
        <v>დონე +14.98 (+3 სართული)</v>
      </c>
      <c r="D82" s="308"/>
      <c r="E82" s="96"/>
      <c r="F82" s="308">
        <f>F24</f>
        <v>134.4</v>
      </c>
      <c r="G82" s="212"/>
      <c r="H82" s="294"/>
      <c r="I82" s="212"/>
      <c r="J82" s="294"/>
      <c r="K82" s="131"/>
      <c r="L82" s="138"/>
      <c r="M82" s="138"/>
      <c r="O82" s="179"/>
      <c r="P82" s="271"/>
    </row>
    <row r="83" spans="1:16" s="451" customFormat="1" ht="15.75" outlineLevel="1">
      <c r="A83" s="90"/>
      <c r="B83" s="347"/>
      <c r="C83" s="345" t="str">
        <f>C25</f>
        <v>დონე +14.98 (+4 სართული)</v>
      </c>
      <c r="D83" s="308"/>
      <c r="E83" s="96"/>
      <c r="F83" s="308">
        <f>F25</f>
        <v>67.4</v>
      </c>
      <c r="G83" s="212"/>
      <c r="H83" s="294"/>
      <c r="I83" s="212"/>
      <c r="J83" s="294"/>
      <c r="K83" s="131"/>
      <c r="L83" s="138"/>
      <c r="M83" s="138"/>
      <c r="O83" s="179"/>
      <c r="P83" s="271"/>
    </row>
    <row r="84" spans="1:16" s="451" customFormat="1" ht="15.75" outlineLevel="1">
      <c r="A84" s="90"/>
      <c r="B84" s="347"/>
      <c r="C84" s="310" t="s">
        <v>141</v>
      </c>
      <c r="D84" s="260" t="s">
        <v>142</v>
      </c>
      <c r="E84" s="305">
        <v>0.83</v>
      </c>
      <c r="F84" s="312">
        <f>E84*F78</f>
        <v>446.37399999999997</v>
      </c>
      <c r="G84" s="315">
        <f>O84/$K$4</f>
        <v>0</v>
      </c>
      <c r="H84" s="313">
        <f>F84*G84</f>
        <v>0</v>
      </c>
      <c r="I84" s="214"/>
      <c r="J84" s="313"/>
      <c r="K84" s="131">
        <f aca="true" t="shared" si="16" ref="K84:K88">H84+J84</f>
        <v>0</v>
      </c>
      <c r="L84" s="138"/>
      <c r="M84" s="138"/>
      <c r="O84" s="259"/>
      <c r="P84" s="271"/>
    </row>
    <row r="85" spans="1:16" ht="15.75">
      <c r="A85" s="91"/>
      <c r="B85" s="94"/>
      <c r="C85" s="310" t="s">
        <v>143</v>
      </c>
      <c r="D85" s="307" t="s">
        <v>66</v>
      </c>
      <c r="E85" s="305">
        <v>1.2</v>
      </c>
      <c r="F85" s="301">
        <f>E85*F78</f>
        <v>645.3599999999999</v>
      </c>
      <c r="G85" s="315">
        <f>O85/$K$4</f>
        <v>0</v>
      </c>
      <c r="H85" s="313">
        <f>F85*G85</f>
        <v>0</v>
      </c>
      <c r="I85" s="214"/>
      <c r="J85" s="313"/>
      <c r="K85" s="131">
        <f t="shared" si="16"/>
        <v>0</v>
      </c>
      <c r="L85" s="139"/>
      <c r="M85" s="139"/>
      <c r="O85" s="259"/>
      <c r="P85" s="269"/>
    </row>
    <row r="86" spans="1:16" ht="15.75">
      <c r="A86" s="91"/>
      <c r="B86" s="94"/>
      <c r="C86" s="310" t="s">
        <v>144</v>
      </c>
      <c r="D86" s="307" t="s">
        <v>145</v>
      </c>
      <c r="E86" s="305">
        <f>18/100</f>
        <v>0.18</v>
      </c>
      <c r="F86" s="301">
        <f>E86*F78</f>
        <v>96.80399999999999</v>
      </c>
      <c r="G86" s="315">
        <f>O86/$K$4</f>
        <v>0</v>
      </c>
      <c r="H86" s="313">
        <f>F86*G86</f>
        <v>0</v>
      </c>
      <c r="I86" s="214"/>
      <c r="J86" s="313"/>
      <c r="K86" s="131">
        <f t="shared" si="16"/>
        <v>0</v>
      </c>
      <c r="L86" s="139"/>
      <c r="M86" s="139"/>
      <c r="O86" s="259"/>
      <c r="P86" s="269"/>
    </row>
    <row r="87" spans="1:16" ht="15.75">
      <c r="A87" s="91"/>
      <c r="B87" s="94"/>
      <c r="C87" s="310" t="s">
        <v>146</v>
      </c>
      <c r="D87" s="307" t="s">
        <v>142</v>
      </c>
      <c r="E87" s="305">
        <v>0.5</v>
      </c>
      <c r="F87" s="301">
        <f>E87*F78</f>
        <v>268.9</v>
      </c>
      <c r="G87" s="315">
        <f aca="true" t="shared" si="17" ref="G87:G88">O87/$K$4</f>
        <v>0</v>
      </c>
      <c r="H87" s="313">
        <f aca="true" t="shared" si="18" ref="H87:H88">F87*G87</f>
        <v>0</v>
      </c>
      <c r="I87" s="214"/>
      <c r="J87" s="313"/>
      <c r="K87" s="131">
        <f t="shared" si="16"/>
        <v>0</v>
      </c>
      <c r="L87" s="139"/>
      <c r="M87" s="139"/>
      <c r="O87" s="259"/>
      <c r="P87" s="269"/>
    </row>
    <row r="88" spans="1:16" ht="10.8" thickBot="1">
      <c r="A88" s="91"/>
      <c r="B88" s="94"/>
      <c r="C88" s="310" t="s">
        <v>33</v>
      </c>
      <c r="D88" s="307"/>
      <c r="E88" s="305">
        <v>1</v>
      </c>
      <c r="F88" s="301">
        <f>E88*F78</f>
        <v>537.8</v>
      </c>
      <c r="G88" s="315">
        <f t="shared" si="17"/>
        <v>0</v>
      </c>
      <c r="H88" s="313">
        <f t="shared" si="18"/>
        <v>0</v>
      </c>
      <c r="I88" s="214"/>
      <c r="J88" s="313"/>
      <c r="K88" s="131">
        <f t="shared" si="16"/>
        <v>0</v>
      </c>
      <c r="L88" s="139"/>
      <c r="M88" s="139"/>
      <c r="O88" s="259"/>
      <c r="P88" s="269"/>
    </row>
    <row r="89" spans="1:16" s="451" customFormat="1" ht="15.75">
      <c r="A89" s="445">
        <v>16</v>
      </c>
      <c r="B89" s="324"/>
      <c r="C89" s="344" t="s">
        <v>194</v>
      </c>
      <c r="D89" s="306" t="s">
        <v>81</v>
      </c>
      <c r="E89" s="303"/>
      <c r="F89" s="300">
        <f>SUM(F90:F93)</f>
        <v>8427.3</v>
      </c>
      <c r="G89" s="340"/>
      <c r="H89" s="338"/>
      <c r="I89" s="343">
        <f>P89/$K$4</f>
        <v>0</v>
      </c>
      <c r="J89" s="338">
        <f>F89*I89</f>
        <v>0</v>
      </c>
      <c r="K89" s="130">
        <f>H89+J89</f>
        <v>0</v>
      </c>
      <c r="L89" s="137">
        <f>SUM(K89:K96)</f>
        <v>0</v>
      </c>
      <c r="M89" s="137">
        <f>L89/F89</f>
        <v>0</v>
      </c>
      <c r="O89" s="170"/>
      <c r="P89" s="363"/>
    </row>
    <row r="90" spans="1:16" s="451" customFormat="1" ht="15.75" outlineLevel="1">
      <c r="A90" s="90"/>
      <c r="B90" s="347"/>
      <c r="C90" s="345" t="str">
        <f>C46</f>
        <v>დონე +0.00 (0 სართული)</v>
      </c>
      <c r="D90" s="308"/>
      <c r="E90" s="96"/>
      <c r="F90" s="308">
        <f>F13</f>
        <v>2158.3</v>
      </c>
      <c r="G90" s="212"/>
      <c r="H90" s="294"/>
      <c r="I90" s="212"/>
      <c r="J90" s="294"/>
      <c r="K90" s="131"/>
      <c r="L90" s="138"/>
      <c r="M90" s="138"/>
      <c r="O90" s="179"/>
      <c r="P90" s="271"/>
    </row>
    <row r="91" spans="1:16" s="451" customFormat="1" ht="15.75" outlineLevel="1">
      <c r="A91" s="90"/>
      <c r="B91" s="347"/>
      <c r="C91" s="345" t="str">
        <f>C47</f>
        <v>დონე +4.38 (+1 სართული)</v>
      </c>
      <c r="D91" s="308"/>
      <c r="E91" s="96"/>
      <c r="F91" s="308">
        <f>F14</f>
        <v>2947</v>
      </c>
      <c r="G91" s="212"/>
      <c r="H91" s="294"/>
      <c r="I91" s="212"/>
      <c r="J91" s="294"/>
      <c r="K91" s="131"/>
      <c r="L91" s="138"/>
      <c r="M91" s="138"/>
      <c r="O91" s="179"/>
      <c r="P91" s="271"/>
    </row>
    <row r="92" spans="1:16" s="451" customFormat="1" ht="15.75" outlineLevel="1">
      <c r="A92" s="90"/>
      <c r="B92" s="347"/>
      <c r="C92" s="345" t="str">
        <f>C48</f>
        <v>დონე +9.68 (+2 სართული)</v>
      </c>
      <c r="D92" s="308"/>
      <c r="E92" s="96"/>
      <c r="F92" s="308">
        <f>F15</f>
        <v>2511.7</v>
      </c>
      <c r="G92" s="212"/>
      <c r="H92" s="294"/>
      <c r="I92" s="212"/>
      <c r="J92" s="294"/>
      <c r="K92" s="131"/>
      <c r="L92" s="138"/>
      <c r="M92" s="138"/>
      <c r="O92" s="179"/>
      <c r="P92" s="271"/>
    </row>
    <row r="93" spans="1:16" s="451" customFormat="1" ht="15.75" outlineLevel="1">
      <c r="A93" s="90"/>
      <c r="B93" s="347"/>
      <c r="C93" s="345" t="str">
        <f>C49</f>
        <v>დონე +14.98 (+3 სართული)</v>
      </c>
      <c r="D93" s="308"/>
      <c r="E93" s="96"/>
      <c r="F93" s="308">
        <f>F16-423</f>
        <v>810.3</v>
      </c>
      <c r="G93" s="212"/>
      <c r="H93" s="294"/>
      <c r="I93" s="212"/>
      <c r="J93" s="294"/>
      <c r="K93" s="131"/>
      <c r="L93" s="138"/>
      <c r="M93" s="138"/>
      <c r="O93" s="179"/>
      <c r="P93" s="271"/>
    </row>
    <row r="94" spans="1:16" s="451" customFormat="1" ht="15.75" outlineLevel="1">
      <c r="A94" s="90"/>
      <c r="B94" s="347"/>
      <c r="C94" s="310" t="s">
        <v>195</v>
      </c>
      <c r="D94" s="260" t="s">
        <v>81</v>
      </c>
      <c r="E94" s="305">
        <v>1.05</v>
      </c>
      <c r="F94" s="312">
        <f>E94*F89</f>
        <v>8848.664999999999</v>
      </c>
      <c r="G94" s="315">
        <f>O94/$K$4</f>
        <v>0</v>
      </c>
      <c r="H94" s="313">
        <f>F94*G94</f>
        <v>0</v>
      </c>
      <c r="I94" s="214"/>
      <c r="J94" s="313"/>
      <c r="K94" s="131">
        <f aca="true" t="shared" si="19" ref="K94:K96">H94+J94</f>
        <v>0</v>
      </c>
      <c r="L94" s="138"/>
      <c r="M94" s="138"/>
      <c r="O94" s="259"/>
      <c r="P94" s="271"/>
    </row>
    <row r="95" spans="1:16" s="451" customFormat="1" ht="15.75" outlineLevel="1">
      <c r="A95" s="90"/>
      <c r="B95" s="347"/>
      <c r="C95" s="310" t="s">
        <v>196</v>
      </c>
      <c r="D95" s="260" t="s">
        <v>81</v>
      </c>
      <c r="E95" s="305">
        <v>1.05</v>
      </c>
      <c r="F95" s="312">
        <f>E95*F89</f>
        <v>8848.664999999999</v>
      </c>
      <c r="G95" s="315">
        <f>O95/$K$4</f>
        <v>0</v>
      </c>
      <c r="H95" s="313">
        <f>F95*G95</f>
        <v>0</v>
      </c>
      <c r="I95" s="214"/>
      <c r="J95" s="313"/>
      <c r="K95" s="131">
        <f aca="true" t="shared" si="20" ref="K95">H95+J95</f>
        <v>0</v>
      </c>
      <c r="L95" s="138"/>
      <c r="M95" s="138"/>
      <c r="O95" s="259"/>
      <c r="P95" s="271"/>
    </row>
    <row r="96" spans="1:16" ht="10.8" thickBot="1">
      <c r="A96" s="91"/>
      <c r="B96" s="94"/>
      <c r="C96" s="310" t="s">
        <v>33</v>
      </c>
      <c r="D96" s="307" t="s">
        <v>81</v>
      </c>
      <c r="E96" s="305">
        <v>1</v>
      </c>
      <c r="F96" s="301">
        <f>E96*F89</f>
        <v>8427.3</v>
      </c>
      <c r="G96" s="315">
        <f>O96/$K$4</f>
        <v>0</v>
      </c>
      <c r="H96" s="313">
        <f>F96*G96</f>
        <v>0</v>
      </c>
      <c r="I96" s="214"/>
      <c r="J96" s="313"/>
      <c r="K96" s="131">
        <f t="shared" si="19"/>
        <v>0</v>
      </c>
      <c r="L96" s="139"/>
      <c r="M96" s="139"/>
      <c r="O96" s="259"/>
      <c r="P96" s="269"/>
    </row>
    <row r="97" spans="1:16" ht="10.8" thickBot="1">
      <c r="A97" s="288"/>
      <c r="B97" s="288"/>
      <c r="C97" s="54"/>
      <c r="D97" s="288"/>
      <c r="E97" s="54"/>
      <c r="F97" s="288"/>
      <c r="G97" s="288"/>
      <c r="H97" s="52"/>
      <c r="I97" s="288"/>
      <c r="J97" s="52"/>
      <c r="K97" s="288"/>
      <c r="L97" s="52"/>
      <c r="M97" s="288"/>
      <c r="N97" s="186"/>
      <c r="O97" s="183"/>
      <c r="P97" s="270"/>
    </row>
    <row r="98" spans="1:16" s="12" customFormat="1" ht="10.8" thickBot="1">
      <c r="A98" s="6"/>
      <c r="B98" s="6"/>
      <c r="C98" s="6"/>
      <c r="D98" s="6"/>
      <c r="E98" s="6"/>
      <c r="F98" s="444"/>
      <c r="G98" s="149"/>
      <c r="H98" s="159">
        <f>SUM(H12:H96)</f>
        <v>0</v>
      </c>
      <c r="I98" s="156"/>
      <c r="J98" s="159">
        <f>SUM(J12:J96)</f>
        <v>0</v>
      </c>
      <c r="K98" s="166"/>
      <c r="L98" s="134"/>
      <c r="M98" s="134"/>
      <c r="O98" s="182"/>
      <c r="P98" s="124"/>
    </row>
    <row r="99" spans="1:16" s="12" customFormat="1" ht="10.8" thickBot="1">
      <c r="A99" s="6"/>
      <c r="B99" s="6"/>
      <c r="C99" s="6"/>
      <c r="D99" s="6"/>
      <c r="E99" s="6"/>
      <c r="F99" s="444"/>
      <c r="G99" s="150"/>
      <c r="H99" s="82" t="s">
        <v>67</v>
      </c>
      <c r="I99" s="225">
        <v>0.02</v>
      </c>
      <c r="J99" s="160"/>
      <c r="K99" s="98">
        <f>I99*H98</f>
        <v>0</v>
      </c>
      <c r="L99" s="134"/>
      <c r="M99" s="134"/>
      <c r="O99" s="182"/>
      <c r="P99" s="124"/>
    </row>
    <row r="100" spans="1:16" s="12" customFormat="1" ht="10.8" thickBot="1">
      <c r="A100" s="6"/>
      <c r="B100" s="6"/>
      <c r="C100" s="6"/>
      <c r="D100" s="6"/>
      <c r="E100" s="6"/>
      <c r="F100" s="444"/>
      <c r="G100" s="149"/>
      <c r="H100" s="31"/>
      <c r="I100" s="226"/>
      <c r="J100" s="159"/>
      <c r="K100" s="99"/>
      <c r="L100" s="134"/>
      <c r="M100" s="134"/>
      <c r="O100" s="181"/>
      <c r="P100" s="181"/>
    </row>
    <row r="101" spans="1:16" s="12" customFormat="1" ht="10.8" thickBot="1">
      <c r="A101" s="6"/>
      <c r="B101" s="6"/>
      <c r="C101" s="1"/>
      <c r="D101" s="463"/>
      <c r="E101" s="1"/>
      <c r="F101" s="451"/>
      <c r="G101" s="150"/>
      <c r="H101" s="625" t="s">
        <v>56</v>
      </c>
      <c r="I101" s="225"/>
      <c r="J101" s="160"/>
      <c r="K101" s="98">
        <f>SUM(K12:K99)</f>
        <v>0</v>
      </c>
      <c r="L101" s="134"/>
      <c r="M101" s="134"/>
      <c r="O101" s="181"/>
      <c r="P101" s="181"/>
    </row>
    <row r="102" spans="1:16" s="12" customFormat="1" ht="10.8" thickBot="1">
      <c r="A102" s="6"/>
      <c r="B102" s="6"/>
      <c r="C102" s="1"/>
      <c r="D102" s="463"/>
      <c r="E102" s="1"/>
      <c r="F102" s="451"/>
      <c r="G102" s="151"/>
      <c r="H102" s="34"/>
      <c r="I102" s="227"/>
      <c r="J102" s="161"/>
      <c r="K102" s="100"/>
      <c r="L102" s="134"/>
      <c r="M102" s="134"/>
      <c r="O102" s="181"/>
      <c r="P102" s="181"/>
    </row>
    <row r="103" spans="2:16" s="12" customFormat="1" ht="15.75">
      <c r="B103" s="85"/>
      <c r="C103" s="8"/>
      <c r="F103" s="13"/>
      <c r="G103" s="152"/>
      <c r="H103" s="44" t="s">
        <v>68</v>
      </c>
      <c r="I103" s="228">
        <v>0.08</v>
      </c>
      <c r="J103" s="162"/>
      <c r="K103" s="101">
        <f>K101*I103</f>
        <v>0</v>
      </c>
      <c r="L103" s="134"/>
      <c r="M103" s="134"/>
      <c r="O103" s="181"/>
      <c r="P103" s="181"/>
    </row>
    <row r="104" spans="2:16" s="12" customFormat="1" ht="10.8" thickBot="1">
      <c r="B104" s="85"/>
      <c r="C104" s="8"/>
      <c r="F104" s="13"/>
      <c r="G104" s="153"/>
      <c r="H104" s="42" t="s">
        <v>56</v>
      </c>
      <c r="I104" s="229"/>
      <c r="J104" s="157"/>
      <c r="K104" s="102">
        <f>K101+K103</f>
        <v>0</v>
      </c>
      <c r="L104" s="134"/>
      <c r="M104" s="134"/>
      <c r="O104" s="181"/>
      <c r="P104" s="181"/>
    </row>
    <row r="105" spans="2:16" s="12" customFormat="1" ht="10.8" thickBot="1">
      <c r="B105" s="85"/>
      <c r="C105" s="8"/>
      <c r="F105" s="13"/>
      <c r="G105" s="154"/>
      <c r="H105" s="37"/>
      <c r="I105" s="230"/>
      <c r="J105" s="163"/>
      <c r="K105" s="103"/>
      <c r="L105" s="134"/>
      <c r="M105" s="134"/>
      <c r="O105" s="181"/>
      <c r="P105" s="181"/>
    </row>
    <row r="106" spans="2:16" s="12" customFormat="1" ht="15.75">
      <c r="B106" s="85"/>
      <c r="C106" s="8"/>
      <c r="F106" s="13"/>
      <c r="G106" s="155"/>
      <c r="H106" s="44" t="s">
        <v>69</v>
      </c>
      <c r="I106" s="228">
        <v>0.08</v>
      </c>
      <c r="J106" s="162"/>
      <c r="K106" s="101">
        <f>K104*I106</f>
        <v>0</v>
      </c>
      <c r="L106" s="134"/>
      <c r="M106" s="134"/>
      <c r="O106" s="181"/>
      <c r="P106" s="181"/>
    </row>
    <row r="107" spans="2:25" s="12" customFormat="1" ht="16.2" thickBot="1">
      <c r="B107" s="85"/>
      <c r="C107" s="8"/>
      <c r="F107" s="13"/>
      <c r="G107" s="153"/>
      <c r="H107" s="42" t="s">
        <v>56</v>
      </c>
      <c r="I107" s="229"/>
      <c r="J107" s="157"/>
      <c r="K107" s="102">
        <f>K104+K106</f>
        <v>0</v>
      </c>
      <c r="L107" s="134"/>
      <c r="M107" s="134"/>
      <c r="O107" s="181"/>
      <c r="P107" s="181"/>
      <c r="T107"/>
      <c r="U107"/>
      <c r="V107"/>
      <c r="W107"/>
      <c r="X107"/>
      <c r="Y107"/>
    </row>
    <row r="108" spans="2:25" s="12" customFormat="1" ht="16.2" thickBot="1">
      <c r="B108" s="85"/>
      <c r="C108" s="8"/>
      <c r="F108" s="13"/>
      <c r="G108" s="154"/>
      <c r="H108" s="37"/>
      <c r="I108" s="230"/>
      <c r="J108" s="163"/>
      <c r="K108" s="103"/>
      <c r="L108" s="134"/>
      <c r="M108" s="134"/>
      <c r="P108" s="181"/>
      <c r="T108"/>
      <c r="U108"/>
      <c r="V108"/>
      <c r="W108"/>
      <c r="X108"/>
      <c r="Y108"/>
    </row>
    <row r="109" spans="2:25" s="12" customFormat="1" ht="15.6">
      <c r="B109" s="85"/>
      <c r="C109" s="8"/>
      <c r="F109" s="13"/>
      <c r="G109" s="155"/>
      <c r="H109" s="44" t="s">
        <v>70</v>
      </c>
      <c r="I109" s="228">
        <v>0</v>
      </c>
      <c r="J109" s="162"/>
      <c r="K109" s="101">
        <f>K107*I109</f>
        <v>0</v>
      </c>
      <c r="L109" s="134"/>
      <c r="M109" s="134"/>
      <c r="O109" s="181"/>
      <c r="P109" s="181"/>
      <c r="T109"/>
      <c r="U109"/>
      <c r="V109"/>
      <c r="W109"/>
      <c r="X109"/>
      <c r="Y109"/>
    </row>
    <row r="110" spans="1:25" s="8" customFormat="1" ht="16.2" thickBot="1">
      <c r="A110" s="12"/>
      <c r="B110" s="85"/>
      <c r="D110" s="12"/>
      <c r="E110" s="12"/>
      <c r="F110" s="13"/>
      <c r="G110" s="153"/>
      <c r="H110" s="42" t="s">
        <v>56</v>
      </c>
      <c r="I110" s="229"/>
      <c r="J110" s="157"/>
      <c r="K110" s="102">
        <f>K107+K109</f>
        <v>0</v>
      </c>
      <c r="L110" s="127"/>
      <c r="M110" s="127"/>
      <c r="O110" s="181"/>
      <c r="P110" s="181"/>
      <c r="T110"/>
      <c r="U110"/>
      <c r="V110"/>
      <c r="W110"/>
      <c r="X110"/>
      <c r="Y110"/>
    </row>
    <row r="111" spans="1:25" s="8" customFormat="1" ht="16.2" thickBot="1">
      <c r="A111" s="12"/>
      <c r="B111" s="85"/>
      <c r="D111" s="12"/>
      <c r="E111" s="12"/>
      <c r="F111" s="13"/>
      <c r="G111" s="154"/>
      <c r="H111" s="37"/>
      <c r="I111" s="230"/>
      <c r="J111" s="163"/>
      <c r="K111" s="103"/>
      <c r="L111" s="127"/>
      <c r="M111" s="127"/>
      <c r="O111" s="181"/>
      <c r="P111" s="181"/>
      <c r="T111"/>
      <c r="U111"/>
      <c r="V111"/>
      <c r="W111"/>
      <c r="X111"/>
      <c r="Y111"/>
    </row>
    <row r="112" spans="1:25" ht="15.6">
      <c r="A112" s="12"/>
      <c r="B112" s="85"/>
      <c r="C112" s="8"/>
      <c r="D112" s="12"/>
      <c r="E112" s="12"/>
      <c r="F112" s="13"/>
      <c r="G112" s="155"/>
      <c r="H112" s="23" t="s">
        <v>71</v>
      </c>
      <c r="I112" s="228">
        <v>0.18</v>
      </c>
      <c r="J112" s="162"/>
      <c r="K112" s="104">
        <f>K110*I112</f>
        <v>0</v>
      </c>
      <c r="L112" s="128"/>
      <c r="M112" s="128"/>
      <c r="O112" s="181"/>
      <c r="P112" s="181"/>
      <c r="T112"/>
      <c r="U112"/>
      <c r="V112"/>
      <c r="W112"/>
      <c r="X112"/>
      <c r="Y112"/>
    </row>
    <row r="113" spans="1:25" ht="16.2" thickBot="1">
      <c r="A113" s="12"/>
      <c r="B113" s="85"/>
      <c r="C113" s="8"/>
      <c r="D113" s="12"/>
      <c r="E113" s="12"/>
      <c r="F113" s="13"/>
      <c r="G113" s="153"/>
      <c r="H113" s="17" t="s">
        <v>56</v>
      </c>
      <c r="I113" s="167" t="s">
        <v>12</v>
      </c>
      <c r="J113" s="164"/>
      <c r="K113" s="105">
        <f>K110+K112</f>
        <v>0</v>
      </c>
      <c r="L113" s="128"/>
      <c r="M113" s="128"/>
      <c r="O113" s="181"/>
      <c r="P113" s="181"/>
      <c r="T113"/>
      <c r="U113"/>
      <c r="V113"/>
      <c r="W113"/>
      <c r="X113"/>
      <c r="Y113"/>
    </row>
    <row r="114" spans="1:25" ht="15.6">
      <c r="A114" s="12"/>
      <c r="B114" s="85"/>
      <c r="C114" s="8"/>
      <c r="D114" s="12"/>
      <c r="E114" s="12"/>
      <c r="F114" s="13"/>
      <c r="G114" s="134"/>
      <c r="H114" s="145"/>
      <c r="I114" s="134"/>
      <c r="J114" s="145"/>
      <c r="K114" s="134"/>
      <c r="L114" s="145"/>
      <c r="M114" s="145"/>
      <c r="O114" s="181"/>
      <c r="P114" s="181"/>
      <c r="T114"/>
      <c r="U114"/>
      <c r="V114"/>
      <c r="W114"/>
      <c r="X114"/>
      <c r="Y114"/>
    </row>
    <row r="115" spans="1:25" ht="15.6">
      <c r="A115" s="8"/>
      <c r="B115" s="86"/>
      <c r="C115" s="8"/>
      <c r="D115" s="15"/>
      <c r="E115" s="8"/>
      <c r="F115" s="9"/>
      <c r="G115" s="127"/>
      <c r="H115" s="68"/>
      <c r="I115" s="127"/>
      <c r="J115" s="68"/>
      <c r="K115" s="127"/>
      <c r="L115" s="68"/>
      <c r="M115" s="68"/>
      <c r="O115" s="182"/>
      <c r="P115" s="182"/>
      <c r="T115"/>
      <c r="U115"/>
      <c r="V115"/>
      <c r="W115"/>
      <c r="X115"/>
      <c r="Y115"/>
    </row>
    <row r="116" spans="20:25" ht="15.6">
      <c r="T116"/>
      <c r="U116"/>
      <c r="V116"/>
      <c r="W116"/>
      <c r="X116"/>
      <c r="Y116"/>
    </row>
    <row r="117" spans="20:25" ht="15.6">
      <c r="T117"/>
      <c r="U117"/>
      <c r="V117"/>
      <c r="W117"/>
      <c r="X117"/>
      <c r="Y117"/>
    </row>
    <row r="118" spans="20:25" ht="15.6">
      <c r="T118"/>
      <c r="U118"/>
      <c r="V118"/>
      <c r="W118"/>
      <c r="X118"/>
      <c r="Y118"/>
    </row>
    <row r="119" spans="20:25" ht="15.6">
      <c r="T119"/>
      <c r="U119"/>
      <c r="V119"/>
      <c r="W119"/>
      <c r="X119"/>
      <c r="Y119"/>
    </row>
    <row r="120" spans="20:25" ht="15.6">
      <c r="T120"/>
      <c r="U120"/>
      <c r="V120"/>
      <c r="W120"/>
      <c r="X120"/>
      <c r="Y120"/>
    </row>
    <row r="121" spans="20:25" ht="15.6">
      <c r="T121"/>
      <c r="U121"/>
      <c r="V121"/>
      <c r="W121"/>
      <c r="X121"/>
      <c r="Y121"/>
    </row>
    <row r="122" spans="3:25" ht="15.6">
      <c r="C122"/>
      <c r="D122"/>
      <c r="E122"/>
      <c r="F122"/>
      <c r="G122"/>
      <c r="H122"/>
      <c r="I122"/>
      <c r="J122"/>
      <c r="K122"/>
      <c r="L122"/>
      <c r="M122"/>
      <c r="N122"/>
      <c r="O122"/>
      <c r="T122"/>
      <c r="U122"/>
      <c r="V122"/>
      <c r="W122"/>
      <c r="X122"/>
      <c r="Y122"/>
    </row>
    <row r="123" spans="3:25" ht="15.6">
      <c r="C123"/>
      <c r="D123"/>
      <c r="E123"/>
      <c r="F123"/>
      <c r="G123"/>
      <c r="H123"/>
      <c r="I123"/>
      <c r="J123"/>
      <c r="K123"/>
      <c r="L123"/>
      <c r="M123"/>
      <c r="N123"/>
      <c r="O123"/>
      <c r="T123"/>
      <c r="U123"/>
      <c r="V123"/>
      <c r="W123"/>
      <c r="X123"/>
      <c r="Y123"/>
    </row>
    <row r="124" spans="3:25" ht="15.6">
      <c r="C124"/>
      <c r="D124"/>
      <c r="E124"/>
      <c r="F124"/>
      <c r="G124"/>
      <c r="H124"/>
      <c r="I124"/>
      <c r="J124"/>
      <c r="K124"/>
      <c r="L124"/>
      <c r="M124"/>
      <c r="N124"/>
      <c r="O124"/>
      <c r="T124"/>
      <c r="U124"/>
      <c r="V124"/>
      <c r="W124"/>
      <c r="X124"/>
      <c r="Y124"/>
    </row>
    <row r="125" spans="3:25" ht="15.6">
      <c r="C125"/>
      <c r="D125"/>
      <c r="E125"/>
      <c r="F125"/>
      <c r="G125"/>
      <c r="H125"/>
      <c r="I125"/>
      <c r="J125"/>
      <c r="K125"/>
      <c r="L125"/>
      <c r="M125"/>
      <c r="N125"/>
      <c r="O125"/>
      <c r="T125"/>
      <c r="U125"/>
      <c r="V125"/>
      <c r="W125"/>
      <c r="X125"/>
      <c r="Y125"/>
    </row>
    <row r="126" spans="3:25" ht="15.6">
      <c r="C126"/>
      <c r="D126"/>
      <c r="E126"/>
      <c r="F126"/>
      <c r="G126"/>
      <c r="H126"/>
      <c r="I126"/>
      <c r="J126"/>
      <c r="K126"/>
      <c r="L126"/>
      <c r="M126"/>
      <c r="N126"/>
      <c r="O126"/>
      <c r="T126"/>
      <c r="U126"/>
      <c r="V126"/>
      <c r="W126"/>
      <c r="X126"/>
      <c r="Y126"/>
    </row>
    <row r="127" spans="3:25" ht="15.6">
      <c r="C127"/>
      <c r="D127"/>
      <c r="E127"/>
      <c r="F127"/>
      <c r="G127"/>
      <c r="H127"/>
      <c r="I127"/>
      <c r="J127"/>
      <c r="K127"/>
      <c r="L127"/>
      <c r="M127"/>
      <c r="N127"/>
      <c r="O127"/>
      <c r="T127"/>
      <c r="U127"/>
      <c r="V127"/>
      <c r="W127"/>
      <c r="X127"/>
      <c r="Y127"/>
    </row>
    <row r="128" spans="3:25" ht="15.6">
      <c r="C128"/>
      <c r="D128"/>
      <c r="E128"/>
      <c r="F128"/>
      <c r="G128"/>
      <c r="H128"/>
      <c r="I128"/>
      <c r="J128"/>
      <c r="K128"/>
      <c r="L128"/>
      <c r="M128"/>
      <c r="N128"/>
      <c r="O128"/>
      <c r="T128"/>
      <c r="U128"/>
      <c r="V128"/>
      <c r="W128"/>
      <c r="X128"/>
      <c r="Y128"/>
    </row>
    <row r="129" spans="3:25" ht="15.6">
      <c r="C129"/>
      <c r="D129"/>
      <c r="E129"/>
      <c r="F129"/>
      <c r="G129"/>
      <c r="H129"/>
      <c r="I129"/>
      <c r="J129"/>
      <c r="K129"/>
      <c r="L129"/>
      <c r="M129"/>
      <c r="N129"/>
      <c r="O129"/>
      <c r="T129"/>
      <c r="U129"/>
      <c r="V129"/>
      <c r="W129"/>
      <c r="X129"/>
      <c r="Y129"/>
    </row>
    <row r="130" spans="3:25" ht="15.6">
      <c r="C130"/>
      <c r="D130"/>
      <c r="E130"/>
      <c r="F130"/>
      <c r="G130"/>
      <c r="H130"/>
      <c r="I130"/>
      <c r="J130"/>
      <c r="K130"/>
      <c r="L130"/>
      <c r="M130"/>
      <c r="N130"/>
      <c r="O130"/>
      <c r="T130"/>
      <c r="U130"/>
      <c r="V130"/>
      <c r="W130"/>
      <c r="X130"/>
      <c r="Y130"/>
    </row>
    <row r="131" spans="3:25" ht="15.6">
      <c r="C131"/>
      <c r="D131"/>
      <c r="E131"/>
      <c r="F131"/>
      <c r="G131"/>
      <c r="H131"/>
      <c r="I131"/>
      <c r="J131"/>
      <c r="K131"/>
      <c r="L131"/>
      <c r="M131"/>
      <c r="N131"/>
      <c r="O131"/>
      <c r="T131"/>
      <c r="U131"/>
      <c r="V131"/>
      <c r="W131"/>
      <c r="X131"/>
      <c r="Y131"/>
    </row>
    <row r="132" spans="3:25" ht="15.6">
      <c r="C132"/>
      <c r="D132"/>
      <c r="E132"/>
      <c r="F132"/>
      <c r="G132"/>
      <c r="H132"/>
      <c r="I132"/>
      <c r="J132"/>
      <c r="K132"/>
      <c r="L132"/>
      <c r="M132"/>
      <c r="N132"/>
      <c r="O132"/>
      <c r="T132"/>
      <c r="U132"/>
      <c r="V132"/>
      <c r="W132"/>
      <c r="X132"/>
      <c r="Y132"/>
    </row>
    <row r="133" spans="3:25" ht="15.6">
      <c r="C133"/>
      <c r="D133"/>
      <c r="E133"/>
      <c r="F133"/>
      <c r="G133"/>
      <c r="H133"/>
      <c r="I133"/>
      <c r="J133"/>
      <c r="K133"/>
      <c r="L133"/>
      <c r="M133"/>
      <c r="N133"/>
      <c r="O133"/>
      <c r="T133"/>
      <c r="U133"/>
      <c r="V133"/>
      <c r="W133"/>
      <c r="X133"/>
      <c r="Y133"/>
    </row>
    <row r="134" spans="3:25" ht="15.6">
      <c r="C134"/>
      <c r="D134"/>
      <c r="E134"/>
      <c r="F134"/>
      <c r="G134"/>
      <c r="H134"/>
      <c r="I134"/>
      <c r="J134"/>
      <c r="K134"/>
      <c r="L134"/>
      <c r="M134"/>
      <c r="N134"/>
      <c r="O134"/>
      <c r="T134"/>
      <c r="U134"/>
      <c r="V134"/>
      <c r="W134"/>
      <c r="X134"/>
      <c r="Y134"/>
    </row>
    <row r="135" spans="3:25" ht="15.6">
      <c r="C135"/>
      <c r="D135"/>
      <c r="E135"/>
      <c r="F135"/>
      <c r="G135"/>
      <c r="H135"/>
      <c r="I135"/>
      <c r="J135"/>
      <c r="K135"/>
      <c r="L135"/>
      <c r="M135"/>
      <c r="N135"/>
      <c r="O135"/>
      <c r="T135"/>
      <c r="U135"/>
      <c r="V135"/>
      <c r="W135"/>
      <c r="X135"/>
      <c r="Y135"/>
    </row>
    <row r="136" spans="3:25" ht="15.6">
      <c r="C136"/>
      <c r="D136"/>
      <c r="E136"/>
      <c r="F136"/>
      <c r="G136"/>
      <c r="H136"/>
      <c r="I136"/>
      <c r="J136"/>
      <c r="K136"/>
      <c r="L136"/>
      <c r="M136"/>
      <c r="N136"/>
      <c r="O136"/>
      <c r="T136"/>
      <c r="U136"/>
      <c r="V136"/>
      <c r="W136"/>
      <c r="X136"/>
      <c r="Y136"/>
    </row>
    <row r="137" spans="3:25" ht="15.6">
      <c r="C137"/>
      <c r="D137"/>
      <c r="E137"/>
      <c r="F137"/>
      <c r="G137"/>
      <c r="H137"/>
      <c r="I137"/>
      <c r="J137"/>
      <c r="K137"/>
      <c r="L137"/>
      <c r="M137"/>
      <c r="N137"/>
      <c r="O137"/>
      <c r="T137"/>
      <c r="U137"/>
      <c r="V137"/>
      <c r="W137"/>
      <c r="X137"/>
      <c r="Y137"/>
    </row>
    <row r="138" spans="3:25" ht="15.6">
      <c r="C138"/>
      <c r="D138"/>
      <c r="E138"/>
      <c r="F138"/>
      <c r="G138"/>
      <c r="H138"/>
      <c r="I138"/>
      <c r="J138"/>
      <c r="K138"/>
      <c r="L138"/>
      <c r="M138"/>
      <c r="N138"/>
      <c r="O138"/>
      <c r="T138"/>
      <c r="U138"/>
      <c r="V138"/>
      <c r="W138"/>
      <c r="X138"/>
      <c r="Y138"/>
    </row>
    <row r="139" spans="3:25" ht="15.6">
      <c r="C139"/>
      <c r="D139"/>
      <c r="E139"/>
      <c r="F139"/>
      <c r="G139"/>
      <c r="H139"/>
      <c r="I139"/>
      <c r="J139"/>
      <c r="K139"/>
      <c r="L139"/>
      <c r="M139"/>
      <c r="N139"/>
      <c r="O139"/>
      <c r="T139"/>
      <c r="U139"/>
      <c r="V139"/>
      <c r="W139"/>
      <c r="X139"/>
      <c r="Y139"/>
    </row>
    <row r="140" spans="3:25" ht="15.6">
      <c r="C140"/>
      <c r="D140"/>
      <c r="E140"/>
      <c r="F140"/>
      <c r="G140"/>
      <c r="H140"/>
      <c r="I140"/>
      <c r="J140"/>
      <c r="K140"/>
      <c r="L140"/>
      <c r="M140"/>
      <c r="N140"/>
      <c r="O140"/>
      <c r="T140"/>
      <c r="U140"/>
      <c r="V140"/>
      <c r="W140"/>
      <c r="X140"/>
      <c r="Y140"/>
    </row>
    <row r="141" spans="3:25" ht="15.6">
      <c r="C141"/>
      <c r="D141"/>
      <c r="E141"/>
      <c r="F141"/>
      <c r="G141"/>
      <c r="H141"/>
      <c r="I141"/>
      <c r="J141"/>
      <c r="K141"/>
      <c r="L141"/>
      <c r="M141"/>
      <c r="N141"/>
      <c r="O141"/>
      <c r="T141"/>
      <c r="U141"/>
      <c r="V141"/>
      <c r="W141"/>
      <c r="X141"/>
      <c r="Y141"/>
    </row>
    <row r="142" spans="3:25" ht="15.6">
      <c r="C142"/>
      <c r="D142"/>
      <c r="E142"/>
      <c r="F142"/>
      <c r="G142"/>
      <c r="H142"/>
      <c r="I142"/>
      <c r="J142"/>
      <c r="K142"/>
      <c r="L142"/>
      <c r="M142"/>
      <c r="N142"/>
      <c r="O142"/>
      <c r="T142"/>
      <c r="U142"/>
      <c r="V142"/>
      <c r="W142"/>
      <c r="X142"/>
      <c r="Y142"/>
    </row>
    <row r="143" spans="3:25" ht="15.6">
      <c r="C143"/>
      <c r="D143"/>
      <c r="E143"/>
      <c r="F143"/>
      <c r="G143"/>
      <c r="H143"/>
      <c r="I143"/>
      <c r="J143"/>
      <c r="K143"/>
      <c r="L143"/>
      <c r="M143"/>
      <c r="N143"/>
      <c r="O143"/>
      <c r="T143"/>
      <c r="U143"/>
      <c r="V143"/>
      <c r="W143"/>
      <c r="X143"/>
      <c r="Y143"/>
    </row>
    <row r="144" spans="3:25" ht="15.6">
      <c r="C144"/>
      <c r="D144"/>
      <c r="E144"/>
      <c r="F144"/>
      <c r="G144"/>
      <c r="H144"/>
      <c r="I144"/>
      <c r="J144"/>
      <c r="K144"/>
      <c r="L144"/>
      <c r="M144"/>
      <c r="N144"/>
      <c r="O144"/>
      <c r="T144"/>
      <c r="U144"/>
      <c r="V144"/>
      <c r="W144"/>
      <c r="X144"/>
      <c r="Y144"/>
    </row>
    <row r="145" spans="3:25" ht="15.6">
      <c r="C145"/>
      <c r="D145"/>
      <c r="E145"/>
      <c r="F145"/>
      <c r="G145"/>
      <c r="H145"/>
      <c r="I145"/>
      <c r="J145"/>
      <c r="K145"/>
      <c r="L145"/>
      <c r="M145"/>
      <c r="N145"/>
      <c r="O145"/>
      <c r="T145"/>
      <c r="U145"/>
      <c r="V145"/>
      <c r="W145"/>
      <c r="X145"/>
      <c r="Y145"/>
    </row>
    <row r="146" spans="3:25" ht="15.6">
      <c r="C146"/>
      <c r="D146"/>
      <c r="E146"/>
      <c r="F146"/>
      <c r="G146"/>
      <c r="H146"/>
      <c r="I146"/>
      <c r="J146"/>
      <c r="K146"/>
      <c r="L146"/>
      <c r="M146"/>
      <c r="N146"/>
      <c r="O146"/>
      <c r="T146"/>
      <c r="U146"/>
      <c r="V146"/>
      <c r="W146"/>
      <c r="X146"/>
      <c r="Y146"/>
    </row>
    <row r="147" spans="3:25" ht="15.6">
      <c r="C147"/>
      <c r="D147"/>
      <c r="E147"/>
      <c r="F147"/>
      <c r="G147"/>
      <c r="H147"/>
      <c r="I147"/>
      <c r="J147"/>
      <c r="K147"/>
      <c r="L147"/>
      <c r="M147"/>
      <c r="N147"/>
      <c r="O147"/>
      <c r="T147"/>
      <c r="U147"/>
      <c r="V147"/>
      <c r="W147"/>
      <c r="X147"/>
      <c r="Y147"/>
    </row>
    <row r="148" spans="3:25" ht="15.6">
      <c r="C148"/>
      <c r="D148"/>
      <c r="E148"/>
      <c r="F148"/>
      <c r="G148"/>
      <c r="H148"/>
      <c r="I148"/>
      <c r="J148"/>
      <c r="K148"/>
      <c r="L148"/>
      <c r="M148"/>
      <c r="N148"/>
      <c r="O148"/>
      <c r="T148"/>
      <c r="U148"/>
      <c r="V148"/>
      <c r="W148"/>
      <c r="X148"/>
      <c r="Y148"/>
    </row>
    <row r="149" spans="3:25" ht="15.6">
      <c r="C149"/>
      <c r="D149"/>
      <c r="E149"/>
      <c r="F149"/>
      <c r="G149"/>
      <c r="H149"/>
      <c r="I149"/>
      <c r="J149"/>
      <c r="K149"/>
      <c r="L149"/>
      <c r="M149"/>
      <c r="N149"/>
      <c r="O149"/>
      <c r="T149"/>
      <c r="U149"/>
      <c r="V149"/>
      <c r="W149"/>
      <c r="X149"/>
      <c r="Y149"/>
    </row>
    <row r="150" spans="3:25" ht="15.6">
      <c r="C150"/>
      <c r="D150"/>
      <c r="E150"/>
      <c r="F150"/>
      <c r="G150"/>
      <c r="H150"/>
      <c r="I150"/>
      <c r="J150"/>
      <c r="K150"/>
      <c r="L150"/>
      <c r="M150"/>
      <c r="N150"/>
      <c r="O150"/>
      <c r="T150"/>
      <c r="U150"/>
      <c r="V150"/>
      <c r="W150"/>
      <c r="X150"/>
      <c r="Y150"/>
    </row>
    <row r="151" spans="3:25" ht="15.6">
      <c r="C151"/>
      <c r="D151"/>
      <c r="E151"/>
      <c r="F151"/>
      <c r="G151"/>
      <c r="H151"/>
      <c r="I151"/>
      <c r="J151"/>
      <c r="K151"/>
      <c r="L151"/>
      <c r="M151"/>
      <c r="N151"/>
      <c r="O151"/>
      <c r="T151"/>
      <c r="U151"/>
      <c r="V151"/>
      <c r="W151"/>
      <c r="X151"/>
      <c r="Y151"/>
    </row>
    <row r="152" spans="3:25" ht="15.6">
      <c r="C152"/>
      <c r="D152"/>
      <c r="E152"/>
      <c r="F152"/>
      <c r="G152"/>
      <c r="H152"/>
      <c r="I152"/>
      <c r="J152"/>
      <c r="K152"/>
      <c r="L152"/>
      <c r="M152"/>
      <c r="N152"/>
      <c r="O152"/>
      <c r="T152"/>
      <c r="U152"/>
      <c r="V152"/>
      <c r="W152"/>
      <c r="X152"/>
      <c r="Y152"/>
    </row>
    <row r="153" spans="3:25" ht="15.6">
      <c r="C153"/>
      <c r="D153"/>
      <c r="E153"/>
      <c r="F153"/>
      <c r="G153"/>
      <c r="H153"/>
      <c r="I153"/>
      <c r="J153"/>
      <c r="K153"/>
      <c r="L153"/>
      <c r="M153"/>
      <c r="N153"/>
      <c r="O153"/>
      <c r="T153"/>
      <c r="U153"/>
      <c r="V153"/>
      <c r="W153"/>
      <c r="X153"/>
      <c r="Y153"/>
    </row>
    <row r="154" spans="3:25" ht="15.6">
      <c r="C154"/>
      <c r="D154"/>
      <c r="E154"/>
      <c r="F154"/>
      <c r="G154"/>
      <c r="H154"/>
      <c r="I154"/>
      <c r="J154"/>
      <c r="K154"/>
      <c r="L154"/>
      <c r="M154"/>
      <c r="N154"/>
      <c r="O154"/>
      <c r="T154"/>
      <c r="U154"/>
      <c r="V154"/>
      <c r="W154"/>
      <c r="X154"/>
      <c r="Y154"/>
    </row>
    <row r="155" spans="3:25" ht="15.6">
      <c r="C155"/>
      <c r="D155"/>
      <c r="E155"/>
      <c r="F155"/>
      <c r="G155"/>
      <c r="H155"/>
      <c r="I155"/>
      <c r="J155"/>
      <c r="K155"/>
      <c r="L155"/>
      <c r="M155"/>
      <c r="N155"/>
      <c r="O155"/>
      <c r="T155"/>
      <c r="U155"/>
      <c r="V155"/>
      <c r="W155"/>
      <c r="X155"/>
      <c r="Y155"/>
    </row>
    <row r="156" spans="3:25" ht="15.6">
      <c r="C156"/>
      <c r="D156"/>
      <c r="E156"/>
      <c r="F156"/>
      <c r="G156"/>
      <c r="H156"/>
      <c r="I156"/>
      <c r="J156"/>
      <c r="K156"/>
      <c r="L156"/>
      <c r="M156"/>
      <c r="N156"/>
      <c r="O156"/>
      <c r="T156"/>
      <c r="U156"/>
      <c r="V156"/>
      <c r="W156"/>
      <c r="X156"/>
      <c r="Y156"/>
    </row>
    <row r="157" spans="3:25" ht="15.6">
      <c r="C157"/>
      <c r="D157"/>
      <c r="E157"/>
      <c r="F157"/>
      <c r="G157"/>
      <c r="H157"/>
      <c r="I157"/>
      <c r="J157"/>
      <c r="K157"/>
      <c r="L157"/>
      <c r="M157"/>
      <c r="N157"/>
      <c r="O157"/>
      <c r="T157"/>
      <c r="U157"/>
      <c r="V157"/>
      <c r="W157"/>
      <c r="X157"/>
      <c r="Y157"/>
    </row>
    <row r="158" spans="3:25" ht="15.6">
      <c r="C158"/>
      <c r="D158"/>
      <c r="E158"/>
      <c r="F158"/>
      <c r="G158"/>
      <c r="H158"/>
      <c r="I158"/>
      <c r="J158"/>
      <c r="K158"/>
      <c r="L158"/>
      <c r="M158"/>
      <c r="N158"/>
      <c r="O158"/>
      <c r="T158"/>
      <c r="U158"/>
      <c r="V158"/>
      <c r="W158"/>
      <c r="X158"/>
      <c r="Y158"/>
    </row>
    <row r="159" spans="3:25" ht="15.6">
      <c r="C159"/>
      <c r="D159"/>
      <c r="E159"/>
      <c r="F159"/>
      <c r="G159"/>
      <c r="H159"/>
      <c r="I159"/>
      <c r="J159"/>
      <c r="K159"/>
      <c r="L159"/>
      <c r="M159"/>
      <c r="N159"/>
      <c r="O159"/>
      <c r="T159"/>
      <c r="U159"/>
      <c r="V159"/>
      <c r="W159"/>
      <c r="X159"/>
      <c r="Y159"/>
    </row>
    <row r="160" spans="3:25" ht="15.6">
      <c r="C160"/>
      <c r="D160"/>
      <c r="E160"/>
      <c r="F160"/>
      <c r="G160"/>
      <c r="H160"/>
      <c r="I160"/>
      <c r="J160"/>
      <c r="K160"/>
      <c r="L160"/>
      <c r="M160"/>
      <c r="N160"/>
      <c r="O160"/>
      <c r="T160"/>
      <c r="U160"/>
      <c r="V160"/>
      <c r="W160"/>
      <c r="X160"/>
      <c r="Y160"/>
    </row>
    <row r="161" spans="3:15" ht="15.6"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3:15" ht="15.6"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3:15" ht="15.6">
      <c r="C163"/>
      <c r="D163"/>
      <c r="E163"/>
      <c r="F163"/>
      <c r="G163"/>
      <c r="H163"/>
      <c r="I163"/>
      <c r="J163"/>
      <c r="K163"/>
      <c r="L163"/>
      <c r="M163"/>
      <c r="N163"/>
      <c r="O163"/>
    </row>
  </sheetData>
  <mergeCells count="18">
    <mergeCell ref="A77:M77"/>
    <mergeCell ref="C1:E1"/>
    <mergeCell ref="A2:C2"/>
    <mergeCell ref="I2:K2"/>
    <mergeCell ref="A3:B3"/>
    <mergeCell ref="A7:A8"/>
    <mergeCell ref="B7:B8"/>
    <mergeCell ref="D7:D8"/>
    <mergeCell ref="E7:F7"/>
    <mergeCell ref="G7:H7"/>
    <mergeCell ref="I7:J7"/>
    <mergeCell ref="K7:K8"/>
    <mergeCell ref="O7:O8"/>
    <mergeCell ref="P7:P8"/>
    <mergeCell ref="L7:L8"/>
    <mergeCell ref="M7:M8"/>
    <mergeCell ref="A34:M34"/>
    <mergeCell ref="A11:M11"/>
  </mergeCells>
  <printOptions/>
  <pageMargins left="0.35000000000000003" right="0.7500000000000001" top="1" bottom="1" header="0.5" footer="0.5"/>
  <pageSetup fitToHeight="1" fitToWidth="1" horizontalDpi="600" verticalDpi="600" orientation="portrait" paperSize="9" scale="14" r:id="rId1"/>
  <headerFooter>
    <oddHeader>&amp;L&amp;16M/2&amp;12 Nutsubidze Project &amp;C&amp;"-,Bold"&amp;18&amp;UBoQ - Shell &amp; Core Works</oddHeader>
    <oddFooter>&amp;L&amp;"-,Bold"&amp;8&amp;K00-048For any queries with regards to BoQ please contact at:    cmc@cmconsulting.ge&amp;"-,Regular"&amp;12&amp;K01+000 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67"/>
  <sheetViews>
    <sheetView showGridLines="0" zoomScalePageLayoutView="110" workbookViewId="0" topLeftCell="A4">
      <selection activeCell="L13" sqref="L13"/>
    </sheetView>
  </sheetViews>
  <sheetFormatPr defaultColWidth="8.875" defaultRowHeight="15.75" outlineLevelRow="1"/>
  <cols>
    <col min="1" max="1" width="3.50390625" style="6" bestFit="1" customWidth="1"/>
    <col min="2" max="2" width="5.625" style="6" customWidth="1"/>
    <col min="3" max="3" width="53.375" style="6" customWidth="1"/>
    <col min="4" max="4" width="5.625" style="6" bestFit="1" customWidth="1"/>
    <col min="5" max="5" width="9.375" style="6" customWidth="1"/>
    <col min="6" max="6" width="9.375" style="444" customWidth="1"/>
    <col min="7" max="7" width="9.375" style="128" customWidth="1"/>
    <col min="8" max="8" width="12.125" style="136" customWidth="1"/>
    <col min="9" max="9" width="13.50390625" style="128" customWidth="1"/>
    <col min="10" max="10" width="18.125" style="136" bestFit="1" customWidth="1"/>
    <col min="11" max="11" width="12.375" style="128" bestFit="1" customWidth="1"/>
    <col min="12" max="12" width="12.375" style="136" customWidth="1"/>
    <col min="13" max="13" width="11.00390625" style="136" customWidth="1"/>
    <col min="14" max="14" width="7.125" style="6" customWidth="1"/>
    <col min="15" max="15" width="9.375" style="175" customWidth="1"/>
    <col min="16" max="16" width="10.875" style="175" customWidth="1"/>
    <col min="17" max="16384" width="8.875" style="6" customWidth="1"/>
  </cols>
  <sheetData>
    <row r="1" spans="1:16" ht="18" thickBot="1">
      <c r="A1" s="1"/>
      <c r="B1" s="2"/>
      <c r="C1" s="817" t="str">
        <f>TOTAL!A2</f>
        <v>სითი მოლი საბურთალო</v>
      </c>
      <c r="D1" s="817"/>
      <c r="E1" s="817"/>
      <c r="F1" s="451"/>
      <c r="G1" s="126"/>
      <c r="H1" s="135"/>
      <c r="I1" s="126"/>
      <c r="J1" s="135"/>
      <c r="K1" s="126"/>
      <c r="L1" s="135"/>
      <c r="M1" s="135"/>
      <c r="O1" s="171"/>
      <c r="P1" s="171"/>
    </row>
    <row r="2" spans="1:15" ht="16.2" thickBot="1">
      <c r="A2" s="855" t="s">
        <v>183</v>
      </c>
      <c r="B2" s="855"/>
      <c r="C2" s="856"/>
      <c r="D2" s="792"/>
      <c r="E2" s="1"/>
      <c r="F2" s="451"/>
      <c r="G2" s="126"/>
      <c r="H2" s="135"/>
      <c r="I2" s="838" t="s">
        <v>10</v>
      </c>
      <c r="J2" s="839"/>
      <c r="K2" s="840"/>
      <c r="L2" s="128"/>
      <c r="M2" s="128"/>
      <c r="O2" s="171"/>
    </row>
    <row r="3" spans="1:15" ht="16.2" thickBot="1">
      <c r="A3" s="841"/>
      <c r="B3" s="841"/>
      <c r="C3" s="45"/>
      <c r="E3" s="45"/>
      <c r="F3" s="45"/>
      <c r="G3" s="146"/>
      <c r="H3" s="146"/>
      <c r="I3" s="334" t="s">
        <v>12</v>
      </c>
      <c r="J3" s="334" t="s">
        <v>11</v>
      </c>
      <c r="K3" s="299" t="s">
        <v>13</v>
      </c>
      <c r="L3" s="128"/>
      <c r="M3" s="128"/>
      <c r="O3" s="172"/>
    </row>
    <row r="4" spans="1:15" ht="15.6" thickBot="1">
      <c r="A4" s="1"/>
      <c r="B4" s="2"/>
      <c r="C4" s="793"/>
      <c r="D4" s="47"/>
      <c r="E4" s="46"/>
      <c r="F4" s="46"/>
      <c r="G4" s="147"/>
      <c r="H4" s="147"/>
      <c r="I4" s="296">
        <f>K165</f>
        <v>0</v>
      </c>
      <c r="J4" s="336">
        <f>I4*K4</f>
        <v>0</v>
      </c>
      <c r="K4" s="403">
        <f>TOTAL!C24</f>
        <v>2.45</v>
      </c>
      <c r="L4" s="128"/>
      <c r="M4" s="128"/>
      <c r="O4" s="173"/>
    </row>
    <row r="5" spans="1:16" ht="15.75">
      <c r="A5" s="1"/>
      <c r="B5" s="2"/>
      <c r="C5" s="1"/>
      <c r="D5" s="47"/>
      <c r="E5" s="46"/>
      <c r="F5" s="46"/>
      <c r="G5" s="147"/>
      <c r="H5" s="147"/>
      <c r="I5" s="335"/>
      <c r="J5" s="337"/>
      <c r="K5" s="165"/>
      <c r="L5" s="128"/>
      <c r="M5" s="128"/>
      <c r="O5" s="173"/>
      <c r="P5" s="67"/>
    </row>
    <row r="6" spans="1:16" ht="10.8" thickBot="1">
      <c r="A6" s="1"/>
      <c r="B6" s="2"/>
      <c r="C6" s="1"/>
      <c r="D6" s="792"/>
      <c r="E6" s="792"/>
      <c r="F6" s="3"/>
      <c r="G6" s="148"/>
      <c r="H6" s="158"/>
      <c r="I6" s="148"/>
      <c r="J6" s="135"/>
      <c r="K6" s="127"/>
      <c r="L6" s="68"/>
      <c r="M6" s="68"/>
      <c r="O6" s="174"/>
      <c r="P6" s="174"/>
    </row>
    <row r="7" spans="1:16" ht="18.75" customHeight="1" thickBot="1">
      <c r="A7" s="842" t="s">
        <v>0</v>
      </c>
      <c r="B7" s="844" t="s">
        <v>61</v>
      </c>
      <c r="C7" s="321" t="s">
        <v>52</v>
      </c>
      <c r="D7" s="846" t="s">
        <v>53</v>
      </c>
      <c r="E7" s="838" t="s">
        <v>50</v>
      </c>
      <c r="F7" s="840"/>
      <c r="G7" s="838" t="s">
        <v>54</v>
      </c>
      <c r="H7" s="840"/>
      <c r="I7" s="838" t="s">
        <v>55</v>
      </c>
      <c r="J7" s="840"/>
      <c r="K7" s="830" t="s">
        <v>56</v>
      </c>
      <c r="L7" s="830" t="s">
        <v>57</v>
      </c>
      <c r="M7" s="830" t="s">
        <v>58</v>
      </c>
      <c r="O7" s="832" t="s">
        <v>148</v>
      </c>
      <c r="P7" s="834" t="s">
        <v>149</v>
      </c>
    </row>
    <row r="8" spans="1:16" ht="10.8" thickBot="1">
      <c r="A8" s="843"/>
      <c r="B8" s="845"/>
      <c r="C8" s="282"/>
      <c r="D8" s="847"/>
      <c r="E8" s="281" t="s">
        <v>59</v>
      </c>
      <c r="F8" s="282" t="s">
        <v>56</v>
      </c>
      <c r="G8" s="570" t="s">
        <v>60</v>
      </c>
      <c r="H8" s="282" t="s">
        <v>56</v>
      </c>
      <c r="I8" s="364" t="s">
        <v>60</v>
      </c>
      <c r="J8" s="282" t="s">
        <v>56</v>
      </c>
      <c r="K8" s="831"/>
      <c r="L8" s="831"/>
      <c r="M8" s="831"/>
      <c r="O8" s="853"/>
      <c r="P8" s="854"/>
    </row>
    <row r="9" spans="1:16" ht="10.8" thickBot="1">
      <c r="A9" s="322" t="s">
        <v>1</v>
      </c>
      <c r="B9" s="332">
        <v>2</v>
      </c>
      <c r="C9" s="280" t="s">
        <v>2</v>
      </c>
      <c r="D9" s="280" t="s">
        <v>3</v>
      </c>
      <c r="E9" s="287" t="s">
        <v>14</v>
      </c>
      <c r="F9" s="280" t="s">
        <v>4</v>
      </c>
      <c r="G9" s="287">
        <v>7</v>
      </c>
      <c r="H9" s="280" t="s">
        <v>6</v>
      </c>
      <c r="I9" s="279">
        <v>9</v>
      </c>
      <c r="J9" s="279" t="s">
        <v>9</v>
      </c>
      <c r="K9" s="279" t="s">
        <v>9</v>
      </c>
      <c r="L9" s="279" t="s">
        <v>27</v>
      </c>
      <c r="M9" s="279" t="s">
        <v>25</v>
      </c>
      <c r="O9" s="318" t="s">
        <v>18</v>
      </c>
      <c r="P9" s="274" t="s">
        <v>26</v>
      </c>
    </row>
    <row r="10" spans="1:16" ht="10.8" thickBot="1">
      <c r="A10" s="288"/>
      <c r="B10" s="54"/>
      <c r="C10" s="288"/>
      <c r="D10" s="286"/>
      <c r="E10" s="288"/>
      <c r="F10" s="54"/>
      <c r="G10" s="331"/>
      <c r="H10" s="129"/>
      <c r="I10" s="331"/>
      <c r="J10" s="129"/>
      <c r="K10" s="129"/>
      <c r="L10" s="129"/>
      <c r="M10" s="129"/>
      <c r="N10" s="186"/>
      <c r="O10" s="333"/>
      <c r="P10" s="270"/>
    </row>
    <row r="11" spans="1:16" ht="29.1" customHeight="1" thickBot="1">
      <c r="A11" s="850" t="s">
        <v>34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206"/>
      <c r="O11" s="184"/>
      <c r="P11" s="184"/>
    </row>
    <row r="12" spans="1:16" s="451" customFormat="1" ht="15.75">
      <c r="A12" s="445">
        <v>1</v>
      </c>
      <c r="B12" s="346"/>
      <c r="C12" s="344" t="s">
        <v>277</v>
      </c>
      <c r="D12" s="355" t="s">
        <v>17</v>
      </c>
      <c r="E12" s="356"/>
      <c r="F12" s="357">
        <f>SUM(F13:F28)</f>
        <v>870</v>
      </c>
      <c r="G12" s="358"/>
      <c r="H12" s="359"/>
      <c r="I12" s="360">
        <f>P12/$K$4</f>
        <v>0</v>
      </c>
      <c r="J12" s="359">
        <f>F12*I12</f>
        <v>0</v>
      </c>
      <c r="K12" s="361">
        <f>H12+J12</f>
        <v>0</v>
      </c>
      <c r="L12" s="362">
        <f>SUM(K12:K31)</f>
        <v>0</v>
      </c>
      <c r="M12" s="362">
        <f>L12/F12</f>
        <v>0</v>
      </c>
      <c r="O12" s="170"/>
      <c r="P12" s="272"/>
    </row>
    <row r="13" spans="1:16" s="451" customFormat="1" ht="15.75" outlineLevel="1">
      <c r="A13" s="90"/>
      <c r="B13" s="347"/>
      <c r="C13" s="345" t="s">
        <v>92</v>
      </c>
      <c r="D13" s="308" t="s">
        <v>81</v>
      </c>
      <c r="E13" s="96"/>
      <c r="F13" s="308">
        <v>58</v>
      </c>
      <c r="G13" s="212"/>
      <c r="H13" s="294"/>
      <c r="I13" s="212"/>
      <c r="J13" s="294"/>
      <c r="K13" s="131"/>
      <c r="L13" s="138"/>
      <c r="M13" s="138"/>
      <c r="O13" s="179"/>
      <c r="P13" s="271"/>
    </row>
    <row r="14" spans="1:16" s="451" customFormat="1" ht="15.75" outlineLevel="1">
      <c r="A14" s="90"/>
      <c r="B14" s="347"/>
      <c r="C14" s="345" t="s">
        <v>125</v>
      </c>
      <c r="D14" s="308" t="s">
        <v>81</v>
      </c>
      <c r="E14" s="96"/>
      <c r="F14" s="308">
        <v>58</v>
      </c>
      <c r="G14" s="212"/>
      <c r="H14" s="294"/>
      <c r="I14" s="212"/>
      <c r="J14" s="294"/>
      <c r="K14" s="131"/>
      <c r="L14" s="138"/>
      <c r="M14" s="138"/>
      <c r="O14" s="179"/>
      <c r="P14" s="271"/>
    </row>
    <row r="15" spans="1:16" s="451" customFormat="1" ht="15.75" outlineLevel="1">
      <c r="A15" s="90"/>
      <c r="B15" s="347"/>
      <c r="C15" s="345" t="s">
        <v>126</v>
      </c>
      <c r="D15" s="308" t="s">
        <v>81</v>
      </c>
      <c r="E15" s="96"/>
      <c r="F15" s="308">
        <v>58</v>
      </c>
      <c r="G15" s="212"/>
      <c r="H15" s="294"/>
      <c r="I15" s="212"/>
      <c r="J15" s="294"/>
      <c r="K15" s="131"/>
      <c r="L15" s="138"/>
      <c r="M15" s="138"/>
      <c r="O15" s="179"/>
      <c r="P15" s="271"/>
    </row>
    <row r="16" spans="1:16" s="451" customFormat="1" ht="15.75" outlineLevel="1">
      <c r="A16" s="90"/>
      <c r="B16" s="347"/>
      <c r="C16" s="345" t="s">
        <v>127</v>
      </c>
      <c r="D16" s="308" t="s">
        <v>81</v>
      </c>
      <c r="E16" s="96"/>
      <c r="F16" s="308">
        <v>58</v>
      </c>
      <c r="G16" s="212"/>
      <c r="H16" s="294"/>
      <c r="I16" s="212"/>
      <c r="J16" s="294"/>
      <c r="K16" s="131"/>
      <c r="L16" s="138"/>
      <c r="M16" s="138"/>
      <c r="O16" s="179"/>
      <c r="P16" s="271"/>
    </row>
    <row r="17" spans="1:16" s="451" customFormat="1" ht="15.75" outlineLevel="1">
      <c r="A17" s="90"/>
      <c r="B17" s="347"/>
      <c r="C17" s="345" t="s">
        <v>128</v>
      </c>
      <c r="D17" s="308" t="s">
        <v>81</v>
      </c>
      <c r="E17" s="96"/>
      <c r="F17" s="308">
        <v>58</v>
      </c>
      <c r="G17" s="212"/>
      <c r="H17" s="294"/>
      <c r="I17" s="212"/>
      <c r="J17" s="294"/>
      <c r="K17" s="131"/>
      <c r="L17" s="138"/>
      <c r="M17" s="138"/>
      <c r="O17" s="179"/>
      <c r="P17" s="271"/>
    </row>
    <row r="18" spans="1:16" s="451" customFormat="1" ht="15.75" outlineLevel="1">
      <c r="A18" s="90"/>
      <c r="B18" s="347"/>
      <c r="C18" s="345" t="s">
        <v>129</v>
      </c>
      <c r="D18" s="308" t="s">
        <v>81</v>
      </c>
      <c r="E18" s="96"/>
      <c r="F18" s="308">
        <v>58</v>
      </c>
      <c r="G18" s="212"/>
      <c r="H18" s="294"/>
      <c r="I18" s="212"/>
      <c r="J18" s="294"/>
      <c r="K18" s="131"/>
      <c r="L18" s="138"/>
      <c r="M18" s="138"/>
      <c r="O18" s="179"/>
      <c r="P18" s="271"/>
    </row>
    <row r="19" spans="1:16" s="451" customFormat="1" ht="15.75" outlineLevel="1">
      <c r="A19" s="90"/>
      <c r="B19" s="347"/>
      <c r="C19" s="345" t="s">
        <v>130</v>
      </c>
      <c r="D19" s="308" t="s">
        <v>81</v>
      </c>
      <c r="E19" s="96"/>
      <c r="F19" s="308">
        <v>58</v>
      </c>
      <c r="G19" s="212"/>
      <c r="H19" s="294"/>
      <c r="I19" s="212"/>
      <c r="J19" s="294"/>
      <c r="K19" s="131"/>
      <c r="L19" s="138"/>
      <c r="M19" s="138"/>
      <c r="O19" s="179"/>
      <c r="P19" s="271"/>
    </row>
    <row r="20" spans="1:16" s="451" customFormat="1" ht="15.75" outlineLevel="1">
      <c r="A20" s="90"/>
      <c r="B20" s="347"/>
      <c r="C20" s="345" t="s">
        <v>131</v>
      </c>
      <c r="D20" s="308" t="s">
        <v>81</v>
      </c>
      <c r="E20" s="96"/>
      <c r="F20" s="308">
        <v>58</v>
      </c>
      <c r="G20" s="212"/>
      <c r="H20" s="294"/>
      <c r="I20" s="212"/>
      <c r="J20" s="294"/>
      <c r="K20" s="131"/>
      <c r="L20" s="138"/>
      <c r="M20" s="138"/>
      <c r="O20" s="179"/>
      <c r="P20" s="271"/>
    </row>
    <row r="21" spans="1:16" s="451" customFormat="1" ht="15.75" outlineLevel="1">
      <c r="A21" s="90"/>
      <c r="B21" s="347"/>
      <c r="C21" s="345" t="s">
        <v>132</v>
      </c>
      <c r="D21" s="308" t="s">
        <v>81</v>
      </c>
      <c r="E21" s="96"/>
      <c r="F21" s="308">
        <v>58</v>
      </c>
      <c r="G21" s="212"/>
      <c r="H21" s="294"/>
      <c r="I21" s="212"/>
      <c r="J21" s="294"/>
      <c r="K21" s="131"/>
      <c r="L21" s="138"/>
      <c r="M21" s="138"/>
      <c r="O21" s="179"/>
      <c r="P21" s="271"/>
    </row>
    <row r="22" spans="1:16" s="451" customFormat="1" ht="15.75" outlineLevel="1">
      <c r="A22" s="90"/>
      <c r="B22" s="347"/>
      <c r="C22" s="345" t="s">
        <v>133</v>
      </c>
      <c r="D22" s="308" t="s">
        <v>81</v>
      </c>
      <c r="E22" s="96"/>
      <c r="F22" s="308">
        <v>58</v>
      </c>
      <c r="G22" s="212"/>
      <c r="H22" s="294"/>
      <c r="I22" s="212"/>
      <c r="J22" s="294"/>
      <c r="K22" s="131"/>
      <c r="L22" s="138"/>
      <c r="M22" s="138"/>
      <c r="O22" s="179"/>
      <c r="P22" s="271"/>
    </row>
    <row r="23" spans="1:16" s="451" customFormat="1" ht="15.75" outlineLevel="1">
      <c r="A23" s="90"/>
      <c r="B23" s="347"/>
      <c r="C23" s="345" t="s">
        <v>134</v>
      </c>
      <c r="D23" s="308" t="s">
        <v>81</v>
      </c>
      <c r="E23" s="96"/>
      <c r="F23" s="308">
        <v>58</v>
      </c>
      <c r="G23" s="212"/>
      <c r="H23" s="294"/>
      <c r="I23" s="212"/>
      <c r="J23" s="294"/>
      <c r="K23" s="131"/>
      <c r="L23" s="138"/>
      <c r="M23" s="138"/>
      <c r="O23" s="179"/>
      <c r="P23" s="271"/>
    </row>
    <row r="24" spans="1:16" s="451" customFormat="1" ht="15.75" outlineLevel="1">
      <c r="A24" s="90"/>
      <c r="B24" s="347"/>
      <c r="C24" s="345" t="s">
        <v>135</v>
      </c>
      <c r="D24" s="308" t="s">
        <v>81</v>
      </c>
      <c r="E24" s="96"/>
      <c r="F24" s="308">
        <v>58</v>
      </c>
      <c r="G24" s="212"/>
      <c r="H24" s="294"/>
      <c r="I24" s="212"/>
      <c r="J24" s="294"/>
      <c r="K24" s="131"/>
      <c r="L24" s="138"/>
      <c r="M24" s="138"/>
      <c r="O24" s="179"/>
      <c r="P24" s="271"/>
    </row>
    <row r="25" spans="1:16" s="451" customFormat="1" ht="15.75" outlineLevel="1">
      <c r="A25" s="90"/>
      <c r="B25" s="347"/>
      <c r="C25" s="345" t="s">
        <v>136</v>
      </c>
      <c r="D25" s="308" t="s">
        <v>81</v>
      </c>
      <c r="E25" s="96"/>
      <c r="F25" s="308">
        <v>58</v>
      </c>
      <c r="G25" s="212"/>
      <c r="H25" s="294"/>
      <c r="I25" s="212"/>
      <c r="J25" s="294"/>
      <c r="K25" s="131"/>
      <c r="L25" s="138"/>
      <c r="M25" s="138"/>
      <c r="O25" s="179"/>
      <c r="P25" s="271"/>
    </row>
    <row r="26" spans="1:16" s="451" customFormat="1" ht="15.75" outlineLevel="1">
      <c r="A26" s="90"/>
      <c r="B26" s="347"/>
      <c r="C26" s="345" t="s">
        <v>137</v>
      </c>
      <c r="D26" s="308" t="s">
        <v>81</v>
      </c>
      <c r="E26" s="96"/>
      <c r="F26" s="308">
        <v>58</v>
      </c>
      <c r="G26" s="212"/>
      <c r="H26" s="294"/>
      <c r="I26" s="212"/>
      <c r="J26" s="294"/>
      <c r="K26" s="131"/>
      <c r="L26" s="138"/>
      <c r="M26" s="138"/>
      <c r="O26" s="179"/>
      <c r="P26" s="271"/>
    </row>
    <row r="27" spans="1:16" s="451" customFormat="1" ht="15.75" outlineLevel="1">
      <c r="A27" s="90"/>
      <c r="B27" s="347"/>
      <c r="C27" s="345" t="s">
        <v>138</v>
      </c>
      <c r="D27" s="308" t="s">
        <v>81</v>
      </c>
      <c r="E27" s="96"/>
      <c r="F27" s="308">
        <v>58</v>
      </c>
      <c r="G27" s="212"/>
      <c r="H27" s="294"/>
      <c r="I27" s="212"/>
      <c r="J27" s="294"/>
      <c r="K27" s="131"/>
      <c r="L27" s="138"/>
      <c r="M27" s="138"/>
      <c r="O27" s="179"/>
      <c r="P27" s="271"/>
    </row>
    <row r="28" spans="1:16" s="451" customFormat="1" ht="15.75" outlineLevel="1">
      <c r="A28" s="90"/>
      <c r="B28" s="347"/>
      <c r="C28" s="345" t="s">
        <v>139</v>
      </c>
      <c r="D28" s="308" t="s">
        <v>81</v>
      </c>
      <c r="E28" s="96"/>
      <c r="F28" s="308"/>
      <c r="G28" s="212"/>
      <c r="H28" s="294"/>
      <c r="I28" s="212"/>
      <c r="J28" s="294"/>
      <c r="K28" s="131"/>
      <c r="L28" s="138"/>
      <c r="M28" s="138"/>
      <c r="O28" s="179"/>
      <c r="P28" s="271"/>
    </row>
    <row r="29" spans="1:16" ht="15.75">
      <c r="A29" s="90"/>
      <c r="B29" s="348"/>
      <c r="C29" s="310" t="s">
        <v>187</v>
      </c>
      <c r="D29" s="328" t="s">
        <v>142</v>
      </c>
      <c r="E29" s="305">
        <v>6</v>
      </c>
      <c r="F29" s="301">
        <f>$F$12*E29</f>
        <v>5220</v>
      </c>
      <c r="G29" s="315">
        <f>O29/$K$4</f>
        <v>0</v>
      </c>
      <c r="H29" s="294">
        <f>F29*G29</f>
        <v>0</v>
      </c>
      <c r="I29" s="212"/>
      <c r="J29" s="294"/>
      <c r="K29" s="131">
        <f>H29+J29</f>
        <v>0</v>
      </c>
      <c r="L29" s="139"/>
      <c r="M29" s="139"/>
      <c r="O29" s="179"/>
      <c r="P29" s="271"/>
    </row>
    <row r="30" spans="1:16" ht="15.75">
      <c r="A30" s="91"/>
      <c r="B30" s="349"/>
      <c r="C30" s="310" t="s">
        <v>188</v>
      </c>
      <c r="D30" s="260" t="s">
        <v>81</v>
      </c>
      <c r="E30" s="305">
        <v>1.05</v>
      </c>
      <c r="F30" s="301">
        <f>$F$12*E30</f>
        <v>913.5</v>
      </c>
      <c r="G30" s="315">
        <f>O30/$K$4</f>
        <v>0</v>
      </c>
      <c r="H30" s="294">
        <f>F30*G30</f>
        <v>0</v>
      </c>
      <c r="I30" s="214"/>
      <c r="J30" s="313"/>
      <c r="K30" s="131">
        <f>H30+J30</f>
        <v>0</v>
      </c>
      <c r="L30" s="139"/>
      <c r="M30" s="139"/>
      <c r="O30" s="176"/>
      <c r="P30" s="269"/>
    </row>
    <row r="31" spans="1:16" ht="10.8" thickBot="1">
      <c r="A31" s="455"/>
      <c r="B31" s="350"/>
      <c r="C31" s="310" t="s">
        <v>33</v>
      </c>
      <c r="D31" s="260"/>
      <c r="E31" s="305">
        <v>1</v>
      </c>
      <c r="F31" s="401">
        <f>E31*F12</f>
        <v>870</v>
      </c>
      <c r="G31" s="315">
        <f>O31/$K$4</f>
        <v>0</v>
      </c>
      <c r="H31" s="294">
        <f>F31*G31</f>
        <v>0</v>
      </c>
      <c r="I31" s="212"/>
      <c r="J31" s="294"/>
      <c r="K31" s="131">
        <f>H31+J31</f>
        <v>0</v>
      </c>
      <c r="L31" s="139"/>
      <c r="M31" s="139"/>
      <c r="O31" s="179"/>
      <c r="P31" s="271"/>
    </row>
    <row r="32" spans="1:16" s="451" customFormat="1" ht="15.75">
      <c r="A32" s="445">
        <v>2</v>
      </c>
      <c r="B32" s="346"/>
      <c r="C32" s="344" t="s">
        <v>185</v>
      </c>
      <c r="D32" s="306" t="s">
        <v>17</v>
      </c>
      <c r="E32" s="303"/>
      <c r="F32" s="357">
        <f>SUM(F33:F48)</f>
        <v>216.00000000000006</v>
      </c>
      <c r="G32" s="340"/>
      <c r="H32" s="338"/>
      <c r="I32" s="343">
        <f>P32/$K$4</f>
        <v>0</v>
      </c>
      <c r="J32" s="338">
        <f>F32*I32</f>
        <v>0</v>
      </c>
      <c r="K32" s="130">
        <f>H32+J32</f>
        <v>0</v>
      </c>
      <c r="L32" s="137">
        <f>SUM(K32:K51)</f>
        <v>0</v>
      </c>
      <c r="M32" s="137">
        <f>L32/F32</f>
        <v>0</v>
      </c>
      <c r="O32" s="170"/>
      <c r="P32" s="272"/>
    </row>
    <row r="33" spans="1:16" s="451" customFormat="1" ht="15.75" outlineLevel="1">
      <c r="A33" s="90"/>
      <c r="B33" s="347"/>
      <c r="C33" s="345" t="s">
        <v>92</v>
      </c>
      <c r="D33" s="308" t="s">
        <v>81</v>
      </c>
      <c r="E33" s="96"/>
      <c r="F33" s="308">
        <f>'5-თეთრი კარკასი - ოფისი'!F33</f>
        <v>14.4</v>
      </c>
      <c r="G33" s="212"/>
      <c r="H33" s="294"/>
      <c r="I33" s="212"/>
      <c r="J33" s="294"/>
      <c r="K33" s="131"/>
      <c r="L33" s="138"/>
      <c r="M33" s="138"/>
      <c r="O33" s="179"/>
      <c r="P33" s="271"/>
    </row>
    <row r="34" spans="1:16" s="451" customFormat="1" ht="15.75" outlineLevel="1">
      <c r="A34" s="90"/>
      <c r="B34" s="347"/>
      <c r="C34" s="345" t="s">
        <v>125</v>
      </c>
      <c r="D34" s="308" t="s">
        <v>81</v>
      </c>
      <c r="E34" s="96"/>
      <c r="F34" s="308">
        <f>'5-თეთრი კარკასი - ოფისი'!F34</f>
        <v>14.4</v>
      </c>
      <c r="G34" s="212"/>
      <c r="H34" s="294"/>
      <c r="I34" s="212"/>
      <c r="J34" s="294"/>
      <c r="K34" s="131"/>
      <c r="L34" s="138"/>
      <c r="M34" s="138"/>
      <c r="O34" s="179"/>
      <c r="P34" s="271"/>
    </row>
    <row r="35" spans="1:16" s="451" customFormat="1" ht="15.75" outlineLevel="1">
      <c r="A35" s="90"/>
      <c r="B35" s="347"/>
      <c r="C35" s="345" t="s">
        <v>126</v>
      </c>
      <c r="D35" s="308" t="s">
        <v>81</v>
      </c>
      <c r="E35" s="96"/>
      <c r="F35" s="308">
        <f>'5-თეთრი კარკასი - ოფისი'!F35</f>
        <v>14.4</v>
      </c>
      <c r="G35" s="212"/>
      <c r="H35" s="294"/>
      <c r="I35" s="212"/>
      <c r="J35" s="294"/>
      <c r="K35" s="131"/>
      <c r="L35" s="138"/>
      <c r="M35" s="138"/>
      <c r="O35" s="179"/>
      <c r="P35" s="271"/>
    </row>
    <row r="36" spans="1:16" s="451" customFormat="1" ht="15.75" outlineLevel="1">
      <c r="A36" s="90"/>
      <c r="B36" s="347"/>
      <c r="C36" s="345" t="s">
        <v>127</v>
      </c>
      <c r="D36" s="308" t="s">
        <v>81</v>
      </c>
      <c r="E36" s="96"/>
      <c r="F36" s="308">
        <f>'5-თეთრი კარკასი - ოფისი'!F36</f>
        <v>14.4</v>
      </c>
      <c r="G36" s="212"/>
      <c r="H36" s="294"/>
      <c r="I36" s="212"/>
      <c r="J36" s="294"/>
      <c r="K36" s="131"/>
      <c r="L36" s="138"/>
      <c r="M36" s="138"/>
      <c r="O36" s="179"/>
      <c r="P36" s="271"/>
    </row>
    <row r="37" spans="1:16" s="451" customFormat="1" ht="15.75" outlineLevel="1">
      <c r="A37" s="90"/>
      <c r="B37" s="347"/>
      <c r="C37" s="345" t="s">
        <v>128</v>
      </c>
      <c r="D37" s="308" t="s">
        <v>81</v>
      </c>
      <c r="E37" s="96"/>
      <c r="F37" s="308">
        <f>'5-თეთრი კარკასი - ოფისი'!F37</f>
        <v>14.4</v>
      </c>
      <c r="G37" s="212"/>
      <c r="H37" s="294"/>
      <c r="I37" s="212"/>
      <c r="J37" s="294"/>
      <c r="K37" s="131"/>
      <c r="L37" s="138"/>
      <c r="M37" s="138"/>
      <c r="O37" s="179"/>
      <c r="P37" s="271"/>
    </row>
    <row r="38" spans="1:16" s="451" customFormat="1" ht="15.75" outlineLevel="1">
      <c r="A38" s="90"/>
      <c r="B38" s="347"/>
      <c r="C38" s="345" t="s">
        <v>129</v>
      </c>
      <c r="D38" s="308" t="s">
        <v>81</v>
      </c>
      <c r="E38" s="96"/>
      <c r="F38" s="308">
        <f>'5-თეთრი კარკასი - ოფისი'!F38</f>
        <v>14.4</v>
      </c>
      <c r="G38" s="212"/>
      <c r="H38" s="294"/>
      <c r="I38" s="212"/>
      <c r="J38" s="294"/>
      <c r="K38" s="131"/>
      <c r="L38" s="138"/>
      <c r="M38" s="138"/>
      <c r="O38" s="179"/>
      <c r="P38" s="271"/>
    </row>
    <row r="39" spans="1:16" s="451" customFormat="1" ht="15.75" outlineLevel="1">
      <c r="A39" s="90"/>
      <c r="B39" s="347"/>
      <c r="C39" s="345" t="s">
        <v>130</v>
      </c>
      <c r="D39" s="308" t="s">
        <v>81</v>
      </c>
      <c r="E39" s="96"/>
      <c r="F39" s="308">
        <f>'5-თეთრი კარკასი - ოფისი'!F39</f>
        <v>14.4</v>
      </c>
      <c r="G39" s="212"/>
      <c r="H39" s="294"/>
      <c r="I39" s="212"/>
      <c r="J39" s="294"/>
      <c r="K39" s="131"/>
      <c r="L39" s="138"/>
      <c r="M39" s="138"/>
      <c r="O39" s="179"/>
      <c r="P39" s="271"/>
    </row>
    <row r="40" spans="1:16" s="451" customFormat="1" ht="15.75" outlineLevel="1">
      <c r="A40" s="90"/>
      <c r="B40" s="347"/>
      <c r="C40" s="345" t="s">
        <v>131</v>
      </c>
      <c r="D40" s="308" t="s">
        <v>81</v>
      </c>
      <c r="E40" s="96"/>
      <c r="F40" s="308">
        <f>'5-თეთრი კარკასი - ოფისი'!F40</f>
        <v>14.4</v>
      </c>
      <c r="G40" s="212"/>
      <c r="H40" s="294"/>
      <c r="I40" s="212"/>
      <c r="J40" s="294"/>
      <c r="K40" s="131"/>
      <c r="L40" s="138"/>
      <c r="M40" s="138"/>
      <c r="O40" s="179"/>
      <c r="P40" s="271"/>
    </row>
    <row r="41" spans="1:16" s="451" customFormat="1" ht="15.75" outlineLevel="1">
      <c r="A41" s="90"/>
      <c r="B41" s="347"/>
      <c r="C41" s="345" t="s">
        <v>132</v>
      </c>
      <c r="D41" s="308" t="s">
        <v>81</v>
      </c>
      <c r="E41" s="96"/>
      <c r="F41" s="308">
        <f>'5-თეთრი კარკასი - ოფისი'!F41</f>
        <v>14.4</v>
      </c>
      <c r="G41" s="212"/>
      <c r="H41" s="294"/>
      <c r="I41" s="212"/>
      <c r="J41" s="294"/>
      <c r="K41" s="131"/>
      <c r="L41" s="138"/>
      <c r="M41" s="138"/>
      <c r="O41" s="179"/>
      <c r="P41" s="271"/>
    </row>
    <row r="42" spans="1:16" s="451" customFormat="1" ht="15.75" outlineLevel="1">
      <c r="A42" s="90"/>
      <c r="B42" s="347"/>
      <c r="C42" s="345" t="s">
        <v>133</v>
      </c>
      <c r="D42" s="308" t="s">
        <v>81</v>
      </c>
      <c r="E42" s="96"/>
      <c r="F42" s="308">
        <f>'5-თეთრი კარკასი - ოფისი'!F42</f>
        <v>14.4</v>
      </c>
      <c r="G42" s="212"/>
      <c r="H42" s="294"/>
      <c r="I42" s="212"/>
      <c r="J42" s="294"/>
      <c r="K42" s="131"/>
      <c r="L42" s="138"/>
      <c r="M42" s="138"/>
      <c r="O42" s="179"/>
      <c r="P42" s="271"/>
    </row>
    <row r="43" spans="1:16" s="451" customFormat="1" ht="15.75" outlineLevel="1">
      <c r="A43" s="90"/>
      <c r="B43" s="347"/>
      <c r="C43" s="345" t="s">
        <v>134</v>
      </c>
      <c r="D43" s="308" t="s">
        <v>81</v>
      </c>
      <c r="E43" s="96"/>
      <c r="F43" s="308">
        <f>'5-თეთრი კარკასი - ოფისი'!F43</f>
        <v>14.4</v>
      </c>
      <c r="G43" s="212"/>
      <c r="H43" s="294"/>
      <c r="I43" s="212"/>
      <c r="J43" s="294"/>
      <c r="K43" s="131"/>
      <c r="L43" s="138"/>
      <c r="M43" s="138"/>
      <c r="O43" s="179"/>
      <c r="P43" s="271"/>
    </row>
    <row r="44" spans="1:16" s="451" customFormat="1" ht="15.75" outlineLevel="1">
      <c r="A44" s="90"/>
      <c r="B44" s="347"/>
      <c r="C44" s="345" t="s">
        <v>135</v>
      </c>
      <c r="D44" s="308" t="s">
        <v>81</v>
      </c>
      <c r="E44" s="96"/>
      <c r="F44" s="308">
        <f>'5-თეთრი კარკასი - ოფისი'!F44</f>
        <v>14.4</v>
      </c>
      <c r="G44" s="212"/>
      <c r="H44" s="294"/>
      <c r="I44" s="212"/>
      <c r="J44" s="294"/>
      <c r="K44" s="131"/>
      <c r="L44" s="138"/>
      <c r="M44" s="138"/>
      <c r="O44" s="179"/>
      <c r="P44" s="271"/>
    </row>
    <row r="45" spans="1:16" s="451" customFormat="1" ht="15.75" outlineLevel="1">
      <c r="A45" s="90"/>
      <c r="B45" s="347"/>
      <c r="C45" s="345" t="s">
        <v>136</v>
      </c>
      <c r="D45" s="308" t="s">
        <v>81</v>
      </c>
      <c r="E45" s="96"/>
      <c r="F45" s="308">
        <f>'5-თეთრი კარკასი - ოფისი'!F45</f>
        <v>14.4</v>
      </c>
      <c r="G45" s="212"/>
      <c r="H45" s="294"/>
      <c r="I45" s="212"/>
      <c r="J45" s="294"/>
      <c r="K45" s="131"/>
      <c r="L45" s="138"/>
      <c r="M45" s="138"/>
      <c r="O45" s="179"/>
      <c r="P45" s="271"/>
    </row>
    <row r="46" spans="1:16" s="451" customFormat="1" ht="15.75" outlineLevel="1">
      <c r="A46" s="90"/>
      <c r="B46" s="347"/>
      <c r="C46" s="345" t="s">
        <v>137</v>
      </c>
      <c r="D46" s="308" t="s">
        <v>81</v>
      </c>
      <c r="E46" s="96"/>
      <c r="F46" s="308">
        <f>'5-თეთრი კარკასი - ოფისი'!F46</f>
        <v>14.4</v>
      </c>
      <c r="G46" s="212"/>
      <c r="H46" s="294"/>
      <c r="I46" s="212"/>
      <c r="J46" s="294"/>
      <c r="K46" s="131"/>
      <c r="L46" s="138"/>
      <c r="M46" s="138"/>
      <c r="O46" s="179"/>
      <c r="P46" s="271"/>
    </row>
    <row r="47" spans="1:16" s="451" customFormat="1" ht="15.75" outlineLevel="1">
      <c r="A47" s="90"/>
      <c r="B47" s="347"/>
      <c r="C47" s="345" t="s">
        <v>138</v>
      </c>
      <c r="D47" s="308" t="s">
        <v>81</v>
      </c>
      <c r="E47" s="96"/>
      <c r="F47" s="308">
        <f>'5-თეთრი კარკასი - ოფისი'!F47</f>
        <v>14.4</v>
      </c>
      <c r="G47" s="212"/>
      <c r="H47" s="294"/>
      <c r="I47" s="212"/>
      <c r="J47" s="294"/>
      <c r="K47" s="131"/>
      <c r="L47" s="138"/>
      <c r="M47" s="138"/>
      <c r="O47" s="179"/>
      <c r="P47" s="271"/>
    </row>
    <row r="48" spans="1:16" s="451" customFormat="1" ht="15.75" outlineLevel="1">
      <c r="A48" s="90"/>
      <c r="B48" s="347"/>
      <c r="C48" s="345" t="s">
        <v>139</v>
      </c>
      <c r="D48" s="308" t="s">
        <v>81</v>
      </c>
      <c r="E48" s="96"/>
      <c r="F48" s="308">
        <f>'5-თეთრი კარკასი - ოფისი'!F48</f>
        <v>0</v>
      </c>
      <c r="G48" s="212"/>
      <c r="H48" s="294"/>
      <c r="I48" s="212"/>
      <c r="J48" s="294"/>
      <c r="K48" s="131"/>
      <c r="L48" s="138"/>
      <c r="M48" s="138"/>
      <c r="O48" s="179"/>
      <c r="P48" s="271"/>
    </row>
    <row r="49" spans="1:16" ht="15.75">
      <c r="A49" s="91"/>
      <c r="B49" s="349"/>
      <c r="C49" s="310" t="s">
        <v>187</v>
      </c>
      <c r="D49" s="328" t="s">
        <v>142</v>
      </c>
      <c r="E49" s="305">
        <v>6</v>
      </c>
      <c r="F49" s="301">
        <f>$F$32*E49</f>
        <v>1296.0000000000005</v>
      </c>
      <c r="G49" s="315">
        <f>O49/$K$4</f>
        <v>0</v>
      </c>
      <c r="H49" s="313">
        <f>F49*G49</f>
        <v>0</v>
      </c>
      <c r="I49" s="214"/>
      <c r="J49" s="313"/>
      <c r="K49" s="131">
        <f aca="true" t="shared" si="0" ref="K49:K55">H49+J49</f>
        <v>0</v>
      </c>
      <c r="L49" s="139"/>
      <c r="M49" s="139"/>
      <c r="O49" s="176"/>
      <c r="P49" s="269"/>
    </row>
    <row r="50" spans="1:16" ht="15.75">
      <c r="A50" s="91"/>
      <c r="B50" s="349"/>
      <c r="C50" s="310" t="s">
        <v>188</v>
      </c>
      <c r="D50" s="260" t="s">
        <v>81</v>
      </c>
      <c r="E50" s="305">
        <v>1.05</v>
      </c>
      <c r="F50" s="301">
        <f>$F$32*E50</f>
        <v>226.80000000000007</v>
      </c>
      <c r="G50" s="315">
        <f>O50/$K$4</f>
        <v>0</v>
      </c>
      <c r="H50" s="313">
        <f>F50*G50</f>
        <v>0</v>
      </c>
      <c r="I50" s="214"/>
      <c r="J50" s="313"/>
      <c r="K50" s="131">
        <f t="shared" si="0"/>
        <v>0</v>
      </c>
      <c r="L50" s="139"/>
      <c r="M50" s="139"/>
      <c r="O50" s="176"/>
      <c r="P50" s="269"/>
    </row>
    <row r="51" spans="1:16" ht="10.8" thickBot="1">
      <c r="A51" s="91"/>
      <c r="B51" s="349"/>
      <c r="C51" s="310" t="s">
        <v>33</v>
      </c>
      <c r="D51" s="260"/>
      <c r="E51" s="305">
        <v>1</v>
      </c>
      <c r="F51" s="301">
        <f>$F$32*E51</f>
        <v>216.00000000000006</v>
      </c>
      <c r="G51" s="315">
        <f>O51/$K$4</f>
        <v>0</v>
      </c>
      <c r="H51" s="313">
        <f>F51*G51</f>
        <v>0</v>
      </c>
      <c r="I51" s="214"/>
      <c r="J51" s="313"/>
      <c r="K51" s="131">
        <f t="shared" si="0"/>
        <v>0</v>
      </c>
      <c r="L51" s="140"/>
      <c r="M51" s="140"/>
      <c r="O51" s="176"/>
      <c r="P51" s="269"/>
    </row>
    <row r="52" spans="1:16" s="451" customFormat="1" ht="15.75">
      <c r="A52" s="445">
        <v>3</v>
      </c>
      <c r="B52" s="346"/>
      <c r="C52" s="344" t="s">
        <v>186</v>
      </c>
      <c r="D52" s="306" t="s">
        <v>17</v>
      </c>
      <c r="E52" s="303"/>
      <c r="F52" s="300">
        <f>'5-თეთრი კარკასი - ოფისი'!F53</f>
        <v>251</v>
      </c>
      <c r="G52" s="340"/>
      <c r="H52" s="338"/>
      <c r="I52" s="343">
        <f>P52/$K$4</f>
        <v>0</v>
      </c>
      <c r="J52" s="338">
        <f>F52*I52</f>
        <v>0</v>
      </c>
      <c r="K52" s="130">
        <f t="shared" si="0"/>
        <v>0</v>
      </c>
      <c r="L52" s="137">
        <f>SUM(K52:K55)</f>
        <v>0</v>
      </c>
      <c r="M52" s="137">
        <f>L52/F52</f>
        <v>0</v>
      </c>
      <c r="O52" s="170"/>
      <c r="P52" s="272"/>
    </row>
    <row r="53" spans="1:16" ht="15.75">
      <c r="A53" s="91"/>
      <c r="B53" s="349"/>
      <c r="C53" s="310" t="s">
        <v>189</v>
      </c>
      <c r="D53" s="328" t="s">
        <v>142</v>
      </c>
      <c r="E53" s="305">
        <v>6</v>
      </c>
      <c r="F53" s="301">
        <f>$F$52*E53</f>
        <v>1506</v>
      </c>
      <c r="G53" s="315">
        <f>O53/$K$4</f>
        <v>0</v>
      </c>
      <c r="H53" s="313">
        <f>F53*G53</f>
        <v>0</v>
      </c>
      <c r="I53" s="214"/>
      <c r="J53" s="313"/>
      <c r="K53" s="131">
        <f t="shared" si="0"/>
        <v>0</v>
      </c>
      <c r="L53" s="139"/>
      <c r="M53" s="139"/>
      <c r="O53" s="176"/>
      <c r="P53" s="269"/>
    </row>
    <row r="54" spans="1:16" ht="15.75">
      <c r="A54" s="91"/>
      <c r="B54" s="349"/>
      <c r="C54" s="310" t="s">
        <v>190</v>
      </c>
      <c r="D54" s="260" t="s">
        <v>81</v>
      </c>
      <c r="E54" s="305">
        <v>1.05</v>
      </c>
      <c r="F54" s="301">
        <f>$F$52*E54</f>
        <v>263.55</v>
      </c>
      <c r="G54" s="315">
        <f>O54/$K$4</f>
        <v>0</v>
      </c>
      <c r="H54" s="313">
        <f>F54*G54</f>
        <v>0</v>
      </c>
      <c r="I54" s="214"/>
      <c r="J54" s="313"/>
      <c r="K54" s="131">
        <f t="shared" si="0"/>
        <v>0</v>
      </c>
      <c r="L54" s="139"/>
      <c r="M54" s="139"/>
      <c r="O54" s="176"/>
      <c r="P54" s="269"/>
    </row>
    <row r="55" spans="1:16" ht="10.8" thickBot="1">
      <c r="A55" s="91"/>
      <c r="B55" s="349"/>
      <c r="C55" s="310" t="s">
        <v>33</v>
      </c>
      <c r="D55" s="260"/>
      <c r="E55" s="305">
        <v>1</v>
      </c>
      <c r="F55" s="301">
        <f>$F$52*E55</f>
        <v>251</v>
      </c>
      <c r="G55" s="315">
        <f>O55/$K$4</f>
        <v>0</v>
      </c>
      <c r="H55" s="313">
        <f>F55*G55</f>
        <v>0</v>
      </c>
      <c r="I55" s="214"/>
      <c r="J55" s="313"/>
      <c r="K55" s="131">
        <f t="shared" si="0"/>
        <v>0</v>
      </c>
      <c r="L55" s="140"/>
      <c r="M55" s="140"/>
      <c r="O55" s="176"/>
      <c r="P55" s="269"/>
    </row>
    <row r="56" spans="1:16" ht="10.8" thickBot="1">
      <c r="A56" s="288"/>
      <c r="B56" s="54"/>
      <c r="C56" s="54"/>
      <c r="D56" s="286"/>
      <c r="E56" s="288"/>
      <c r="F56" s="54"/>
      <c r="G56" s="331"/>
      <c r="H56" s="129"/>
      <c r="I56" s="331"/>
      <c r="J56" s="129"/>
      <c r="K56" s="129"/>
      <c r="L56" s="129"/>
      <c r="M56" s="129"/>
      <c r="O56" s="177"/>
      <c r="P56" s="270"/>
    </row>
    <row r="57" spans="1:14" ht="23.4" thickBot="1">
      <c r="A57" s="850" t="s">
        <v>35</v>
      </c>
      <c r="B57" s="851"/>
      <c r="C57" s="851"/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206"/>
    </row>
    <row r="58" spans="1:16" s="451" customFormat="1" ht="15.75">
      <c r="A58" s="445">
        <v>4</v>
      </c>
      <c r="B58" s="324"/>
      <c r="C58" s="344" t="s">
        <v>191</v>
      </c>
      <c r="D58" s="306" t="s">
        <v>81</v>
      </c>
      <c r="E58" s="303"/>
      <c r="F58" s="357">
        <f>SUM(F59:F74)</f>
        <v>564.0000000000001</v>
      </c>
      <c r="G58" s="340"/>
      <c r="H58" s="338"/>
      <c r="I58" s="343">
        <f>P58/$K$4</f>
        <v>0</v>
      </c>
      <c r="J58" s="338">
        <f>F58*I58</f>
        <v>0</v>
      </c>
      <c r="K58" s="130">
        <f>H58+J58</f>
        <v>0</v>
      </c>
      <c r="L58" s="137">
        <f>SUM(K58:K79)</f>
        <v>0</v>
      </c>
      <c r="M58" s="137">
        <f>L58/F58</f>
        <v>0</v>
      </c>
      <c r="O58" s="170"/>
      <c r="P58" s="363"/>
    </row>
    <row r="59" spans="1:16" s="451" customFormat="1" ht="15.75" outlineLevel="1">
      <c r="A59" s="90"/>
      <c r="B59" s="347"/>
      <c r="C59" s="345" t="s">
        <v>92</v>
      </c>
      <c r="D59" s="308" t="s">
        <v>81</v>
      </c>
      <c r="E59" s="96"/>
      <c r="F59" s="308">
        <f>13*3.2-4</f>
        <v>37.6</v>
      </c>
      <c r="G59" s="212"/>
      <c r="H59" s="294"/>
      <c r="I59" s="212"/>
      <c r="J59" s="294"/>
      <c r="K59" s="131"/>
      <c r="L59" s="138"/>
      <c r="M59" s="138"/>
      <c r="O59" s="179"/>
      <c r="P59" s="271"/>
    </row>
    <row r="60" spans="1:16" s="451" customFormat="1" ht="15.75" outlineLevel="1">
      <c r="A60" s="90"/>
      <c r="B60" s="347"/>
      <c r="C60" s="345" t="s">
        <v>125</v>
      </c>
      <c r="D60" s="308" t="s">
        <v>81</v>
      </c>
      <c r="E60" s="96"/>
      <c r="F60" s="308">
        <f aca="true" t="shared" si="1" ref="F60:F73">13*3.2-4</f>
        <v>37.6</v>
      </c>
      <c r="G60" s="212"/>
      <c r="H60" s="294"/>
      <c r="I60" s="212"/>
      <c r="J60" s="294"/>
      <c r="K60" s="131"/>
      <c r="L60" s="138"/>
      <c r="M60" s="138"/>
      <c r="O60" s="179"/>
      <c r="P60" s="271"/>
    </row>
    <row r="61" spans="1:16" s="451" customFormat="1" ht="15.75" outlineLevel="1">
      <c r="A61" s="90"/>
      <c r="B61" s="347"/>
      <c r="C61" s="345" t="s">
        <v>126</v>
      </c>
      <c r="D61" s="308" t="s">
        <v>81</v>
      </c>
      <c r="E61" s="96"/>
      <c r="F61" s="308">
        <f t="shared" si="1"/>
        <v>37.6</v>
      </c>
      <c r="G61" s="212"/>
      <c r="H61" s="294"/>
      <c r="I61" s="212"/>
      <c r="J61" s="294"/>
      <c r="K61" s="131"/>
      <c r="L61" s="138"/>
      <c r="M61" s="138"/>
      <c r="O61" s="179"/>
      <c r="P61" s="271"/>
    </row>
    <row r="62" spans="1:16" s="451" customFormat="1" ht="15.75" outlineLevel="1">
      <c r="A62" s="90"/>
      <c r="B62" s="347"/>
      <c r="C62" s="345" t="s">
        <v>127</v>
      </c>
      <c r="D62" s="308" t="s">
        <v>81</v>
      </c>
      <c r="E62" s="96"/>
      <c r="F62" s="308">
        <f t="shared" si="1"/>
        <v>37.6</v>
      </c>
      <c r="G62" s="212"/>
      <c r="H62" s="294"/>
      <c r="I62" s="212"/>
      <c r="J62" s="294"/>
      <c r="K62" s="131"/>
      <c r="L62" s="138"/>
      <c r="M62" s="138"/>
      <c r="O62" s="179"/>
      <c r="P62" s="271"/>
    </row>
    <row r="63" spans="1:16" s="451" customFormat="1" ht="15.75" outlineLevel="1">
      <c r="A63" s="90"/>
      <c r="B63" s="347"/>
      <c r="C63" s="345" t="s">
        <v>128</v>
      </c>
      <c r="D63" s="308" t="s">
        <v>81</v>
      </c>
      <c r="E63" s="96"/>
      <c r="F63" s="308">
        <f t="shared" si="1"/>
        <v>37.6</v>
      </c>
      <c r="G63" s="212"/>
      <c r="H63" s="294"/>
      <c r="I63" s="212"/>
      <c r="J63" s="294"/>
      <c r="K63" s="131"/>
      <c r="L63" s="138"/>
      <c r="M63" s="138"/>
      <c r="O63" s="179"/>
      <c r="P63" s="271"/>
    </row>
    <row r="64" spans="1:16" s="451" customFormat="1" ht="15.75" outlineLevel="1">
      <c r="A64" s="90"/>
      <c r="B64" s="347"/>
      <c r="C64" s="345" t="s">
        <v>129</v>
      </c>
      <c r="D64" s="308" t="s">
        <v>81</v>
      </c>
      <c r="E64" s="96"/>
      <c r="F64" s="308">
        <f t="shared" si="1"/>
        <v>37.6</v>
      </c>
      <c r="G64" s="212"/>
      <c r="H64" s="294"/>
      <c r="I64" s="212"/>
      <c r="J64" s="294"/>
      <c r="K64" s="131"/>
      <c r="L64" s="138"/>
      <c r="M64" s="138"/>
      <c r="O64" s="179"/>
      <c r="P64" s="271"/>
    </row>
    <row r="65" spans="1:16" s="451" customFormat="1" ht="15.75" outlineLevel="1">
      <c r="A65" s="90"/>
      <c r="B65" s="347"/>
      <c r="C65" s="345" t="s">
        <v>130</v>
      </c>
      <c r="D65" s="308" t="s">
        <v>81</v>
      </c>
      <c r="E65" s="96"/>
      <c r="F65" s="308">
        <f t="shared" si="1"/>
        <v>37.6</v>
      </c>
      <c r="G65" s="212"/>
      <c r="H65" s="294"/>
      <c r="I65" s="212"/>
      <c r="J65" s="294"/>
      <c r="K65" s="131"/>
      <c r="L65" s="138"/>
      <c r="M65" s="138"/>
      <c r="O65" s="179"/>
      <c r="P65" s="271"/>
    </row>
    <row r="66" spans="1:16" s="451" customFormat="1" ht="15.75" outlineLevel="1">
      <c r="A66" s="90"/>
      <c r="B66" s="347"/>
      <c r="C66" s="345" t="s">
        <v>131</v>
      </c>
      <c r="D66" s="308" t="s">
        <v>81</v>
      </c>
      <c r="E66" s="96"/>
      <c r="F66" s="308">
        <f t="shared" si="1"/>
        <v>37.6</v>
      </c>
      <c r="G66" s="212"/>
      <c r="H66" s="294"/>
      <c r="I66" s="212"/>
      <c r="J66" s="294"/>
      <c r="K66" s="131"/>
      <c r="L66" s="138"/>
      <c r="M66" s="138"/>
      <c r="O66" s="179"/>
      <c r="P66" s="271"/>
    </row>
    <row r="67" spans="1:16" s="451" customFormat="1" ht="15.75" outlineLevel="1">
      <c r="A67" s="90"/>
      <c r="B67" s="347"/>
      <c r="C67" s="345" t="s">
        <v>132</v>
      </c>
      <c r="D67" s="308" t="s">
        <v>81</v>
      </c>
      <c r="E67" s="96"/>
      <c r="F67" s="308">
        <f t="shared" si="1"/>
        <v>37.6</v>
      </c>
      <c r="G67" s="212"/>
      <c r="H67" s="294"/>
      <c r="I67" s="212"/>
      <c r="J67" s="294"/>
      <c r="K67" s="131"/>
      <c r="L67" s="138"/>
      <c r="M67" s="138"/>
      <c r="O67" s="179"/>
      <c r="P67" s="271"/>
    </row>
    <row r="68" spans="1:16" s="451" customFormat="1" ht="15.75" outlineLevel="1">
      <c r="A68" s="90"/>
      <c r="B68" s="347"/>
      <c r="C68" s="345" t="s">
        <v>133</v>
      </c>
      <c r="D68" s="308" t="s">
        <v>81</v>
      </c>
      <c r="E68" s="96"/>
      <c r="F68" s="308">
        <f t="shared" si="1"/>
        <v>37.6</v>
      </c>
      <c r="G68" s="212"/>
      <c r="H68" s="294"/>
      <c r="I68" s="212"/>
      <c r="J68" s="294"/>
      <c r="K68" s="131"/>
      <c r="L68" s="138"/>
      <c r="M68" s="138"/>
      <c r="O68" s="179"/>
      <c r="P68" s="271"/>
    </row>
    <row r="69" spans="1:16" s="451" customFormat="1" ht="15.75" outlineLevel="1">
      <c r="A69" s="90"/>
      <c r="B69" s="347"/>
      <c r="C69" s="345" t="s">
        <v>134</v>
      </c>
      <c r="D69" s="308" t="s">
        <v>81</v>
      </c>
      <c r="E69" s="96"/>
      <c r="F69" s="308">
        <f t="shared" si="1"/>
        <v>37.6</v>
      </c>
      <c r="G69" s="212"/>
      <c r="H69" s="294"/>
      <c r="I69" s="212"/>
      <c r="J69" s="294"/>
      <c r="K69" s="131"/>
      <c r="L69" s="138"/>
      <c r="M69" s="138"/>
      <c r="O69" s="179"/>
      <c r="P69" s="271"/>
    </row>
    <row r="70" spans="1:16" s="451" customFormat="1" ht="15.75" outlineLevel="1">
      <c r="A70" s="90"/>
      <c r="B70" s="347"/>
      <c r="C70" s="345" t="s">
        <v>135</v>
      </c>
      <c r="D70" s="308" t="s">
        <v>81</v>
      </c>
      <c r="E70" s="96"/>
      <c r="F70" s="308">
        <f t="shared" si="1"/>
        <v>37.6</v>
      </c>
      <c r="G70" s="212"/>
      <c r="H70" s="294"/>
      <c r="I70" s="212"/>
      <c r="J70" s="294"/>
      <c r="K70" s="131"/>
      <c r="L70" s="138"/>
      <c r="M70" s="138"/>
      <c r="O70" s="179"/>
      <c r="P70" s="271"/>
    </row>
    <row r="71" spans="1:16" s="451" customFormat="1" ht="15.75" outlineLevel="1">
      <c r="A71" s="90"/>
      <c r="B71" s="347"/>
      <c r="C71" s="345" t="s">
        <v>136</v>
      </c>
      <c r="D71" s="308" t="s">
        <v>81</v>
      </c>
      <c r="E71" s="96"/>
      <c r="F71" s="308">
        <f t="shared" si="1"/>
        <v>37.6</v>
      </c>
      <c r="G71" s="212"/>
      <c r="H71" s="294"/>
      <c r="I71" s="212"/>
      <c r="J71" s="294"/>
      <c r="K71" s="131"/>
      <c r="L71" s="138"/>
      <c r="M71" s="138"/>
      <c r="O71" s="179"/>
      <c r="P71" s="271"/>
    </row>
    <row r="72" spans="1:16" s="451" customFormat="1" ht="15.75" outlineLevel="1">
      <c r="A72" s="90"/>
      <c r="B72" s="347"/>
      <c r="C72" s="345" t="s">
        <v>137</v>
      </c>
      <c r="D72" s="308" t="s">
        <v>81</v>
      </c>
      <c r="E72" s="96"/>
      <c r="F72" s="308">
        <f t="shared" si="1"/>
        <v>37.6</v>
      </c>
      <c r="G72" s="212"/>
      <c r="H72" s="294"/>
      <c r="I72" s="212"/>
      <c r="J72" s="294"/>
      <c r="K72" s="131"/>
      <c r="L72" s="138"/>
      <c r="M72" s="138"/>
      <c r="O72" s="179"/>
      <c r="P72" s="271"/>
    </row>
    <row r="73" spans="1:16" s="451" customFormat="1" ht="15.75" outlineLevel="1">
      <c r="A73" s="90"/>
      <c r="B73" s="347"/>
      <c r="C73" s="345" t="s">
        <v>138</v>
      </c>
      <c r="D73" s="308" t="s">
        <v>81</v>
      </c>
      <c r="E73" s="96"/>
      <c r="F73" s="308">
        <f t="shared" si="1"/>
        <v>37.6</v>
      </c>
      <c r="G73" s="212"/>
      <c r="H73" s="294"/>
      <c r="I73" s="212"/>
      <c r="J73" s="294"/>
      <c r="K73" s="131"/>
      <c r="L73" s="138"/>
      <c r="M73" s="138"/>
      <c r="O73" s="179"/>
      <c r="P73" s="271"/>
    </row>
    <row r="74" spans="1:16" s="451" customFormat="1" ht="15.75" outlineLevel="1">
      <c r="A74" s="90"/>
      <c r="B74" s="347"/>
      <c r="C74" s="345" t="s">
        <v>139</v>
      </c>
      <c r="D74" s="308" t="s">
        <v>81</v>
      </c>
      <c r="E74" s="96"/>
      <c r="F74" s="308"/>
      <c r="G74" s="212"/>
      <c r="H74" s="294"/>
      <c r="I74" s="212"/>
      <c r="J74" s="294"/>
      <c r="K74" s="131"/>
      <c r="L74" s="138"/>
      <c r="M74" s="138"/>
      <c r="O74" s="179"/>
      <c r="P74" s="271"/>
    </row>
    <row r="75" spans="1:16" s="451" customFormat="1" ht="15.75" outlineLevel="1">
      <c r="A75" s="90"/>
      <c r="B75" s="347"/>
      <c r="C75" s="310" t="s">
        <v>141</v>
      </c>
      <c r="D75" s="260" t="s">
        <v>142</v>
      </c>
      <c r="E75" s="305">
        <v>0.83</v>
      </c>
      <c r="F75" s="312">
        <f>E75*F58</f>
        <v>468.12000000000006</v>
      </c>
      <c r="G75" s="315">
        <f>O75/$K$4</f>
        <v>0</v>
      </c>
      <c r="H75" s="313">
        <f>F75*G75</f>
        <v>0</v>
      </c>
      <c r="I75" s="214"/>
      <c r="J75" s="313"/>
      <c r="K75" s="131">
        <f aca="true" t="shared" si="2" ref="K75:K79">H75+J75</f>
        <v>0</v>
      </c>
      <c r="L75" s="138"/>
      <c r="M75" s="138"/>
      <c r="O75" s="259"/>
      <c r="P75" s="271"/>
    </row>
    <row r="76" spans="1:16" ht="15.75">
      <c r="A76" s="91"/>
      <c r="B76" s="94"/>
      <c r="C76" s="310" t="s">
        <v>143</v>
      </c>
      <c r="D76" s="307" t="s">
        <v>66</v>
      </c>
      <c r="E76" s="305">
        <v>1.2</v>
      </c>
      <c r="F76" s="301">
        <f>E76*F58</f>
        <v>676.8000000000001</v>
      </c>
      <c r="G76" s="315">
        <f>O76/$K$4</f>
        <v>0</v>
      </c>
      <c r="H76" s="313">
        <f>F76*G76</f>
        <v>0</v>
      </c>
      <c r="I76" s="214"/>
      <c r="J76" s="313"/>
      <c r="K76" s="131">
        <f t="shared" si="2"/>
        <v>0</v>
      </c>
      <c r="L76" s="139"/>
      <c r="M76" s="139"/>
      <c r="O76" s="259"/>
      <c r="P76" s="269"/>
    </row>
    <row r="77" spans="1:16" ht="15.75">
      <c r="A77" s="91"/>
      <c r="B77" s="94"/>
      <c r="C77" s="310" t="s">
        <v>144</v>
      </c>
      <c r="D77" s="307" t="s">
        <v>145</v>
      </c>
      <c r="E77" s="305">
        <f>18/100</f>
        <v>0.18</v>
      </c>
      <c r="F77" s="301">
        <f>E77*F58</f>
        <v>101.52000000000001</v>
      </c>
      <c r="G77" s="315">
        <f>O77/$K$4</f>
        <v>0</v>
      </c>
      <c r="H77" s="313">
        <f>F77*G77</f>
        <v>0</v>
      </c>
      <c r="I77" s="214"/>
      <c r="J77" s="313"/>
      <c r="K77" s="131">
        <f t="shared" si="2"/>
        <v>0</v>
      </c>
      <c r="L77" s="139"/>
      <c r="M77" s="139"/>
      <c r="O77" s="259"/>
      <c r="P77" s="269"/>
    </row>
    <row r="78" spans="1:16" ht="15.75">
      <c r="A78" s="91"/>
      <c r="B78" s="94"/>
      <c r="C78" s="310" t="s">
        <v>146</v>
      </c>
      <c r="D78" s="307" t="s">
        <v>142</v>
      </c>
      <c r="E78" s="305">
        <v>0.5</v>
      </c>
      <c r="F78" s="301">
        <f>E78*F58</f>
        <v>282.00000000000006</v>
      </c>
      <c r="G78" s="315">
        <f aca="true" t="shared" si="3" ref="G78:G79">O78/$K$4</f>
        <v>0</v>
      </c>
      <c r="H78" s="313">
        <f aca="true" t="shared" si="4" ref="H78:H79">F78*G78</f>
        <v>0</v>
      </c>
      <c r="I78" s="214"/>
      <c r="J78" s="313"/>
      <c r="K78" s="131">
        <f t="shared" si="2"/>
        <v>0</v>
      </c>
      <c r="L78" s="139"/>
      <c r="M78" s="139"/>
      <c r="O78" s="259"/>
      <c r="P78" s="269"/>
    </row>
    <row r="79" spans="1:16" ht="10.8" thickBot="1">
      <c r="A79" s="91"/>
      <c r="B79" s="94"/>
      <c r="C79" s="310" t="s">
        <v>33</v>
      </c>
      <c r="D79" s="307"/>
      <c r="E79" s="305">
        <v>1</v>
      </c>
      <c r="F79" s="401">
        <f>E79*F58</f>
        <v>564.0000000000001</v>
      </c>
      <c r="G79" s="315">
        <f t="shared" si="3"/>
        <v>0</v>
      </c>
      <c r="H79" s="313">
        <f t="shared" si="4"/>
        <v>0</v>
      </c>
      <c r="I79" s="214"/>
      <c r="J79" s="313"/>
      <c r="K79" s="131">
        <f t="shared" si="2"/>
        <v>0</v>
      </c>
      <c r="L79" s="139"/>
      <c r="M79" s="139"/>
      <c r="O79" s="259"/>
      <c r="P79" s="269"/>
    </row>
    <row r="80" spans="1:16" s="451" customFormat="1" ht="15.75">
      <c r="A80" s="445">
        <v>5</v>
      </c>
      <c r="B80" s="324"/>
      <c r="C80" s="344" t="s">
        <v>278</v>
      </c>
      <c r="D80" s="306" t="s">
        <v>81</v>
      </c>
      <c r="E80" s="303"/>
      <c r="F80" s="357">
        <f>SUM(F81:F96)</f>
        <v>2118.0000000000005</v>
      </c>
      <c r="G80" s="340"/>
      <c r="H80" s="338"/>
      <c r="I80" s="343">
        <f>P80/$K$4</f>
        <v>0</v>
      </c>
      <c r="J80" s="338">
        <f>F80*I80</f>
        <v>0</v>
      </c>
      <c r="K80" s="130">
        <f>H80+J80</f>
        <v>0</v>
      </c>
      <c r="L80" s="137">
        <f>SUM(K80:K101)</f>
        <v>0</v>
      </c>
      <c r="M80" s="137">
        <f>L80/F80</f>
        <v>0</v>
      </c>
      <c r="O80" s="170"/>
      <c r="P80" s="363"/>
    </row>
    <row r="81" spans="1:16" s="451" customFormat="1" ht="15.75" outlineLevel="1">
      <c r="A81" s="90"/>
      <c r="B81" s="347"/>
      <c r="C81" s="345" t="s">
        <v>92</v>
      </c>
      <c r="D81" s="308" t="s">
        <v>81</v>
      </c>
      <c r="E81" s="96"/>
      <c r="F81" s="308">
        <f>46*3.2-6</f>
        <v>141.20000000000002</v>
      </c>
      <c r="G81" s="212"/>
      <c r="H81" s="294"/>
      <c r="I81" s="212"/>
      <c r="J81" s="294"/>
      <c r="K81" s="131"/>
      <c r="L81" s="138"/>
      <c r="M81" s="138"/>
      <c r="O81" s="179"/>
      <c r="P81" s="271"/>
    </row>
    <row r="82" spans="1:16" s="451" customFormat="1" ht="15.75" outlineLevel="1">
      <c r="A82" s="90"/>
      <c r="B82" s="347"/>
      <c r="C82" s="345" t="s">
        <v>125</v>
      </c>
      <c r="D82" s="308" t="s">
        <v>81</v>
      </c>
      <c r="E82" s="96"/>
      <c r="F82" s="308">
        <f aca="true" t="shared" si="5" ref="F82:F95">46*3.2-6</f>
        <v>141.20000000000002</v>
      </c>
      <c r="G82" s="212"/>
      <c r="H82" s="294"/>
      <c r="I82" s="212"/>
      <c r="J82" s="294"/>
      <c r="K82" s="131"/>
      <c r="L82" s="138"/>
      <c r="M82" s="138"/>
      <c r="O82" s="179"/>
      <c r="P82" s="271"/>
    </row>
    <row r="83" spans="1:16" s="451" customFormat="1" ht="15.75" outlineLevel="1">
      <c r="A83" s="90"/>
      <c r="B83" s="347"/>
      <c r="C83" s="345" t="s">
        <v>126</v>
      </c>
      <c r="D83" s="308" t="s">
        <v>81</v>
      </c>
      <c r="E83" s="96"/>
      <c r="F83" s="308">
        <f t="shared" si="5"/>
        <v>141.20000000000002</v>
      </c>
      <c r="G83" s="212"/>
      <c r="H83" s="294"/>
      <c r="I83" s="212"/>
      <c r="J83" s="294"/>
      <c r="K83" s="131"/>
      <c r="L83" s="138"/>
      <c r="M83" s="138"/>
      <c r="O83" s="179"/>
      <c r="P83" s="271"/>
    </row>
    <row r="84" spans="1:16" s="451" customFormat="1" ht="15.75" outlineLevel="1">
      <c r="A84" s="90"/>
      <c r="B84" s="347"/>
      <c r="C84" s="345" t="s">
        <v>127</v>
      </c>
      <c r="D84" s="308" t="s">
        <v>81</v>
      </c>
      <c r="E84" s="96"/>
      <c r="F84" s="308">
        <f t="shared" si="5"/>
        <v>141.20000000000002</v>
      </c>
      <c r="G84" s="212"/>
      <c r="H84" s="294"/>
      <c r="I84" s="212"/>
      <c r="J84" s="294"/>
      <c r="K84" s="131"/>
      <c r="L84" s="138"/>
      <c r="M84" s="138"/>
      <c r="O84" s="179"/>
      <c r="P84" s="271"/>
    </row>
    <row r="85" spans="1:16" s="451" customFormat="1" ht="15.75" outlineLevel="1">
      <c r="A85" s="90"/>
      <c r="B85" s="347"/>
      <c r="C85" s="345" t="s">
        <v>128</v>
      </c>
      <c r="D85" s="308" t="s">
        <v>81</v>
      </c>
      <c r="E85" s="96"/>
      <c r="F85" s="308">
        <f t="shared" si="5"/>
        <v>141.20000000000002</v>
      </c>
      <c r="G85" s="212"/>
      <c r="H85" s="294"/>
      <c r="I85" s="212"/>
      <c r="J85" s="294"/>
      <c r="K85" s="131"/>
      <c r="L85" s="138"/>
      <c r="M85" s="138"/>
      <c r="O85" s="179"/>
      <c r="P85" s="271"/>
    </row>
    <row r="86" spans="1:16" s="451" customFormat="1" ht="15.75" outlineLevel="1">
      <c r="A86" s="90"/>
      <c r="B86" s="347"/>
      <c r="C86" s="345" t="s">
        <v>129</v>
      </c>
      <c r="D86" s="308" t="s">
        <v>81</v>
      </c>
      <c r="E86" s="96"/>
      <c r="F86" s="308">
        <f t="shared" si="5"/>
        <v>141.20000000000002</v>
      </c>
      <c r="G86" s="212"/>
      <c r="H86" s="294"/>
      <c r="I86" s="212"/>
      <c r="J86" s="294"/>
      <c r="K86" s="131"/>
      <c r="L86" s="138"/>
      <c r="M86" s="138"/>
      <c r="O86" s="179"/>
      <c r="P86" s="271"/>
    </row>
    <row r="87" spans="1:16" s="451" customFormat="1" ht="15.75" outlineLevel="1">
      <c r="A87" s="90"/>
      <c r="B87" s="347"/>
      <c r="C87" s="345" t="s">
        <v>130</v>
      </c>
      <c r="D87" s="308" t="s">
        <v>81</v>
      </c>
      <c r="E87" s="96"/>
      <c r="F87" s="308">
        <f t="shared" si="5"/>
        <v>141.20000000000002</v>
      </c>
      <c r="G87" s="212"/>
      <c r="H87" s="294"/>
      <c r="I87" s="212"/>
      <c r="J87" s="294"/>
      <c r="K87" s="131"/>
      <c r="L87" s="138"/>
      <c r="M87" s="138"/>
      <c r="O87" s="179"/>
      <c r="P87" s="271"/>
    </row>
    <row r="88" spans="1:16" s="451" customFormat="1" ht="15.75" outlineLevel="1">
      <c r="A88" s="90"/>
      <c r="B88" s="347"/>
      <c r="C88" s="345" t="s">
        <v>131</v>
      </c>
      <c r="D88" s="308" t="s">
        <v>81</v>
      </c>
      <c r="E88" s="96"/>
      <c r="F88" s="308">
        <f t="shared" si="5"/>
        <v>141.20000000000002</v>
      </c>
      <c r="G88" s="212"/>
      <c r="H88" s="294"/>
      <c r="I88" s="212"/>
      <c r="J88" s="294"/>
      <c r="K88" s="131"/>
      <c r="L88" s="138"/>
      <c r="M88" s="138"/>
      <c r="O88" s="179"/>
      <c r="P88" s="271"/>
    </row>
    <row r="89" spans="1:16" s="451" customFormat="1" ht="15.75" outlineLevel="1">
      <c r="A89" s="90"/>
      <c r="B89" s="347"/>
      <c r="C89" s="345" t="s">
        <v>132</v>
      </c>
      <c r="D89" s="308" t="s">
        <v>81</v>
      </c>
      <c r="E89" s="96"/>
      <c r="F89" s="308">
        <f t="shared" si="5"/>
        <v>141.20000000000002</v>
      </c>
      <c r="G89" s="212"/>
      <c r="H89" s="294"/>
      <c r="I89" s="212"/>
      <c r="J89" s="294"/>
      <c r="K89" s="131"/>
      <c r="L89" s="138"/>
      <c r="M89" s="138"/>
      <c r="O89" s="179"/>
      <c r="P89" s="271"/>
    </row>
    <row r="90" spans="1:16" s="451" customFormat="1" ht="15.75" outlineLevel="1">
      <c r="A90" s="90"/>
      <c r="B90" s="347"/>
      <c r="C90" s="345" t="s">
        <v>133</v>
      </c>
      <c r="D90" s="308" t="s">
        <v>81</v>
      </c>
      <c r="E90" s="96"/>
      <c r="F90" s="308">
        <f t="shared" si="5"/>
        <v>141.20000000000002</v>
      </c>
      <c r="G90" s="212"/>
      <c r="H90" s="294"/>
      <c r="I90" s="212"/>
      <c r="J90" s="294"/>
      <c r="K90" s="131"/>
      <c r="L90" s="138"/>
      <c r="M90" s="138"/>
      <c r="O90" s="179"/>
      <c r="P90" s="271"/>
    </row>
    <row r="91" spans="1:16" s="451" customFormat="1" ht="15.75" outlineLevel="1">
      <c r="A91" s="90"/>
      <c r="B91" s="347"/>
      <c r="C91" s="345" t="s">
        <v>134</v>
      </c>
      <c r="D91" s="308" t="s">
        <v>81</v>
      </c>
      <c r="E91" s="96"/>
      <c r="F91" s="308">
        <f t="shared" si="5"/>
        <v>141.20000000000002</v>
      </c>
      <c r="G91" s="212"/>
      <c r="H91" s="294"/>
      <c r="I91" s="212"/>
      <c r="J91" s="294"/>
      <c r="K91" s="131"/>
      <c r="L91" s="138"/>
      <c r="M91" s="138"/>
      <c r="O91" s="179"/>
      <c r="P91" s="271"/>
    </row>
    <row r="92" spans="1:16" s="451" customFormat="1" ht="15.75" outlineLevel="1">
      <c r="A92" s="90"/>
      <c r="B92" s="347"/>
      <c r="C92" s="345" t="s">
        <v>135</v>
      </c>
      <c r="D92" s="308" t="s">
        <v>81</v>
      </c>
      <c r="E92" s="96"/>
      <c r="F92" s="308">
        <f t="shared" si="5"/>
        <v>141.20000000000002</v>
      </c>
      <c r="G92" s="212"/>
      <c r="H92" s="294"/>
      <c r="I92" s="212"/>
      <c r="J92" s="294"/>
      <c r="K92" s="131"/>
      <c r="L92" s="138"/>
      <c r="M92" s="138"/>
      <c r="O92" s="179"/>
      <c r="P92" s="271"/>
    </row>
    <row r="93" spans="1:16" s="451" customFormat="1" ht="15.75" outlineLevel="1">
      <c r="A93" s="90"/>
      <c r="B93" s="347"/>
      <c r="C93" s="345" t="s">
        <v>136</v>
      </c>
      <c r="D93" s="308" t="s">
        <v>81</v>
      </c>
      <c r="E93" s="96"/>
      <c r="F93" s="308">
        <f t="shared" si="5"/>
        <v>141.20000000000002</v>
      </c>
      <c r="G93" s="212"/>
      <c r="H93" s="294"/>
      <c r="I93" s="212"/>
      <c r="J93" s="294"/>
      <c r="K93" s="131"/>
      <c r="L93" s="138"/>
      <c r="M93" s="138"/>
      <c r="O93" s="179"/>
      <c r="P93" s="271"/>
    </row>
    <row r="94" spans="1:16" s="451" customFormat="1" ht="15.75" outlineLevel="1">
      <c r="A94" s="90"/>
      <c r="B94" s="347"/>
      <c r="C94" s="345" t="s">
        <v>137</v>
      </c>
      <c r="D94" s="308" t="s">
        <v>81</v>
      </c>
      <c r="E94" s="96"/>
      <c r="F94" s="308">
        <f t="shared" si="5"/>
        <v>141.20000000000002</v>
      </c>
      <c r="G94" s="212"/>
      <c r="H94" s="294"/>
      <c r="I94" s="212"/>
      <c r="J94" s="294"/>
      <c r="K94" s="131"/>
      <c r="L94" s="138"/>
      <c r="M94" s="138"/>
      <c r="O94" s="179"/>
      <c r="P94" s="271"/>
    </row>
    <row r="95" spans="1:16" s="451" customFormat="1" ht="15.75" outlineLevel="1">
      <c r="A95" s="90"/>
      <c r="B95" s="347"/>
      <c r="C95" s="345" t="s">
        <v>138</v>
      </c>
      <c r="D95" s="308" t="s">
        <v>81</v>
      </c>
      <c r="E95" s="96"/>
      <c r="F95" s="308">
        <f t="shared" si="5"/>
        <v>141.20000000000002</v>
      </c>
      <c r="G95" s="212"/>
      <c r="H95" s="294"/>
      <c r="I95" s="212"/>
      <c r="J95" s="294"/>
      <c r="K95" s="131"/>
      <c r="L95" s="138"/>
      <c r="M95" s="138"/>
      <c r="O95" s="179"/>
      <c r="P95" s="271"/>
    </row>
    <row r="96" spans="1:16" s="451" customFormat="1" ht="15.75" outlineLevel="1">
      <c r="A96" s="90"/>
      <c r="B96" s="347"/>
      <c r="C96" s="345" t="s">
        <v>139</v>
      </c>
      <c r="D96" s="308" t="s">
        <v>81</v>
      </c>
      <c r="E96" s="96"/>
      <c r="F96" s="308"/>
      <c r="G96" s="212"/>
      <c r="H96" s="294"/>
      <c r="I96" s="212"/>
      <c r="J96" s="294"/>
      <c r="K96" s="131"/>
      <c r="L96" s="138"/>
      <c r="M96" s="138"/>
      <c r="O96" s="179"/>
      <c r="P96" s="271"/>
    </row>
    <row r="97" spans="1:16" s="451" customFormat="1" ht="15.75" outlineLevel="1">
      <c r="A97" s="90"/>
      <c r="B97" s="347"/>
      <c r="C97" s="310" t="s">
        <v>141</v>
      </c>
      <c r="D97" s="260" t="s">
        <v>142</v>
      </c>
      <c r="E97" s="305">
        <v>0.83</v>
      </c>
      <c r="F97" s="312">
        <f>E97*F80</f>
        <v>1757.9400000000003</v>
      </c>
      <c r="G97" s="315">
        <f>O97/$K$4</f>
        <v>0</v>
      </c>
      <c r="H97" s="313">
        <f>F97*G97</f>
        <v>0</v>
      </c>
      <c r="I97" s="214"/>
      <c r="J97" s="313"/>
      <c r="K97" s="131">
        <f aca="true" t="shared" si="6" ref="K97:K101">H97+J97</f>
        <v>0</v>
      </c>
      <c r="L97" s="138"/>
      <c r="M97" s="138"/>
      <c r="O97" s="259"/>
      <c r="P97" s="271"/>
    </row>
    <row r="98" spans="1:16" ht="15.75">
      <c r="A98" s="91"/>
      <c r="B98" s="94"/>
      <c r="C98" s="310" t="s">
        <v>143</v>
      </c>
      <c r="D98" s="307" t="s">
        <v>66</v>
      </c>
      <c r="E98" s="305">
        <v>1.2</v>
      </c>
      <c r="F98" s="301">
        <f>E98*F80</f>
        <v>2541.6000000000004</v>
      </c>
      <c r="G98" s="315">
        <f>O98/$K$4</f>
        <v>0</v>
      </c>
      <c r="H98" s="313">
        <f>F98*G98</f>
        <v>0</v>
      </c>
      <c r="I98" s="214"/>
      <c r="J98" s="313"/>
      <c r="K98" s="131">
        <f t="shared" si="6"/>
        <v>0</v>
      </c>
      <c r="L98" s="139"/>
      <c r="M98" s="139"/>
      <c r="O98" s="259"/>
      <c r="P98" s="269"/>
    </row>
    <row r="99" spans="1:16" ht="15.75">
      <c r="A99" s="91"/>
      <c r="B99" s="94"/>
      <c r="C99" s="310" t="s">
        <v>144</v>
      </c>
      <c r="D99" s="307" t="s">
        <v>145</v>
      </c>
      <c r="E99" s="305">
        <f>18/100</f>
        <v>0.18</v>
      </c>
      <c r="F99" s="301">
        <f>E99*F80</f>
        <v>381.24000000000007</v>
      </c>
      <c r="G99" s="315">
        <f>O99/$K$4</f>
        <v>0</v>
      </c>
      <c r="H99" s="313">
        <f>F99*G99</f>
        <v>0</v>
      </c>
      <c r="I99" s="214"/>
      <c r="J99" s="313"/>
      <c r="K99" s="131">
        <f t="shared" si="6"/>
        <v>0</v>
      </c>
      <c r="L99" s="139"/>
      <c r="M99" s="139"/>
      <c r="O99" s="259"/>
      <c r="P99" s="269"/>
    </row>
    <row r="100" spans="1:16" ht="15.75">
      <c r="A100" s="91"/>
      <c r="B100" s="94"/>
      <c r="C100" s="310" t="s">
        <v>146</v>
      </c>
      <c r="D100" s="307" t="s">
        <v>142</v>
      </c>
      <c r="E100" s="305">
        <v>0.5</v>
      </c>
      <c r="F100" s="301">
        <f>E100*F80</f>
        <v>1059.0000000000002</v>
      </c>
      <c r="G100" s="315">
        <f aca="true" t="shared" si="7" ref="G100:G101">O100/$K$4</f>
        <v>0</v>
      </c>
      <c r="H100" s="313">
        <f aca="true" t="shared" si="8" ref="H100:H101">F100*G100</f>
        <v>0</v>
      </c>
      <c r="I100" s="214"/>
      <c r="J100" s="313"/>
      <c r="K100" s="131">
        <f t="shared" si="6"/>
        <v>0</v>
      </c>
      <c r="L100" s="139"/>
      <c r="M100" s="139"/>
      <c r="O100" s="259"/>
      <c r="P100" s="269"/>
    </row>
    <row r="101" spans="1:16" ht="10.8" thickBot="1">
      <c r="A101" s="91"/>
      <c r="B101" s="94"/>
      <c r="C101" s="310" t="s">
        <v>33</v>
      </c>
      <c r="D101" s="307"/>
      <c r="E101" s="305">
        <v>1</v>
      </c>
      <c r="F101" s="401">
        <f>E101*F80</f>
        <v>2118.0000000000005</v>
      </c>
      <c r="G101" s="315">
        <f t="shared" si="7"/>
        <v>0</v>
      </c>
      <c r="H101" s="313">
        <f t="shared" si="8"/>
        <v>0</v>
      </c>
      <c r="I101" s="214"/>
      <c r="J101" s="313"/>
      <c r="K101" s="131">
        <f t="shared" si="6"/>
        <v>0</v>
      </c>
      <c r="L101" s="139"/>
      <c r="M101" s="139"/>
      <c r="O101" s="259"/>
      <c r="P101" s="269"/>
    </row>
    <row r="102" spans="1:16" s="451" customFormat="1" ht="15.75">
      <c r="A102" s="445">
        <v>6</v>
      </c>
      <c r="B102" s="346"/>
      <c r="C102" s="344" t="s">
        <v>185</v>
      </c>
      <c r="D102" s="306" t="s">
        <v>17</v>
      </c>
      <c r="E102" s="303"/>
      <c r="F102" s="357">
        <f>SUM(F103:F118)</f>
        <v>1181.9999999999998</v>
      </c>
      <c r="G102" s="340"/>
      <c r="H102" s="338"/>
      <c r="I102" s="343">
        <f>P102/$K$4</f>
        <v>0</v>
      </c>
      <c r="J102" s="338">
        <f>F102*I102</f>
        <v>0</v>
      </c>
      <c r="K102" s="130">
        <f>H102+J102</f>
        <v>0</v>
      </c>
      <c r="L102" s="137">
        <f>SUM(K102:K121)</f>
        <v>0</v>
      </c>
      <c r="M102" s="137">
        <f>L102/F102</f>
        <v>0</v>
      </c>
      <c r="O102" s="170"/>
      <c r="P102" s="272"/>
    </row>
    <row r="103" spans="1:16" s="451" customFormat="1" ht="15.75" outlineLevel="1">
      <c r="A103" s="90"/>
      <c r="B103" s="347"/>
      <c r="C103" s="345" t="s">
        <v>92</v>
      </c>
      <c r="D103" s="308" t="s">
        <v>81</v>
      </c>
      <c r="E103" s="96"/>
      <c r="F103" s="308">
        <v>78.8</v>
      </c>
      <c r="G103" s="212"/>
      <c r="H103" s="294"/>
      <c r="I103" s="212"/>
      <c r="J103" s="294"/>
      <c r="K103" s="131"/>
      <c r="L103" s="138"/>
      <c r="M103" s="138"/>
      <c r="O103" s="179"/>
      <c r="P103" s="271"/>
    </row>
    <row r="104" spans="1:16" s="451" customFormat="1" ht="15.75" outlineLevel="1">
      <c r="A104" s="90"/>
      <c r="B104" s="347"/>
      <c r="C104" s="345" t="s">
        <v>125</v>
      </c>
      <c r="D104" s="308" t="s">
        <v>81</v>
      </c>
      <c r="E104" s="96"/>
      <c r="F104" s="308">
        <v>78.8</v>
      </c>
      <c r="G104" s="212"/>
      <c r="H104" s="294"/>
      <c r="I104" s="212"/>
      <c r="J104" s="294"/>
      <c r="K104" s="131"/>
      <c r="L104" s="138"/>
      <c r="M104" s="138"/>
      <c r="O104" s="179"/>
      <c r="P104" s="271"/>
    </row>
    <row r="105" spans="1:16" s="451" customFormat="1" ht="15.75" outlineLevel="1">
      <c r="A105" s="90"/>
      <c r="B105" s="347"/>
      <c r="C105" s="345" t="s">
        <v>126</v>
      </c>
      <c r="D105" s="308" t="s">
        <v>81</v>
      </c>
      <c r="E105" s="96"/>
      <c r="F105" s="308">
        <v>78.8</v>
      </c>
      <c r="G105" s="212"/>
      <c r="H105" s="294"/>
      <c r="I105" s="212"/>
      <c r="J105" s="294"/>
      <c r="K105" s="131"/>
      <c r="L105" s="138"/>
      <c r="M105" s="138"/>
      <c r="O105" s="179"/>
      <c r="P105" s="271"/>
    </row>
    <row r="106" spans="1:16" s="451" customFormat="1" ht="15.75" outlineLevel="1">
      <c r="A106" s="90"/>
      <c r="B106" s="347"/>
      <c r="C106" s="345" t="s">
        <v>127</v>
      </c>
      <c r="D106" s="308" t="s">
        <v>81</v>
      </c>
      <c r="E106" s="96"/>
      <c r="F106" s="308">
        <v>78.8</v>
      </c>
      <c r="G106" s="212"/>
      <c r="H106" s="294"/>
      <c r="I106" s="212"/>
      <c r="J106" s="294"/>
      <c r="K106" s="131"/>
      <c r="L106" s="138"/>
      <c r="M106" s="138"/>
      <c r="O106" s="179"/>
      <c r="P106" s="271"/>
    </row>
    <row r="107" spans="1:16" s="451" customFormat="1" ht="15.75" outlineLevel="1">
      <c r="A107" s="90"/>
      <c r="B107" s="347"/>
      <c r="C107" s="345" t="s">
        <v>128</v>
      </c>
      <c r="D107" s="308" t="s">
        <v>81</v>
      </c>
      <c r="E107" s="96"/>
      <c r="F107" s="308">
        <v>78.8</v>
      </c>
      <c r="G107" s="212"/>
      <c r="H107" s="294"/>
      <c r="I107" s="212"/>
      <c r="J107" s="294"/>
      <c r="K107" s="131"/>
      <c r="L107" s="138"/>
      <c r="M107" s="138"/>
      <c r="O107" s="179"/>
      <c r="P107" s="271"/>
    </row>
    <row r="108" spans="1:16" s="451" customFormat="1" ht="15.75" outlineLevel="1">
      <c r="A108" s="90"/>
      <c r="B108" s="347"/>
      <c r="C108" s="345" t="s">
        <v>129</v>
      </c>
      <c r="D108" s="308" t="s">
        <v>81</v>
      </c>
      <c r="E108" s="96"/>
      <c r="F108" s="308">
        <v>78.8</v>
      </c>
      <c r="G108" s="212"/>
      <c r="H108" s="294"/>
      <c r="I108" s="212"/>
      <c r="J108" s="294"/>
      <c r="K108" s="131"/>
      <c r="L108" s="138"/>
      <c r="M108" s="138"/>
      <c r="O108" s="179"/>
      <c r="P108" s="271"/>
    </row>
    <row r="109" spans="1:16" s="451" customFormat="1" ht="15.75" outlineLevel="1">
      <c r="A109" s="90"/>
      <c r="B109" s="347"/>
      <c r="C109" s="345" t="s">
        <v>130</v>
      </c>
      <c r="D109" s="308" t="s">
        <v>81</v>
      </c>
      <c r="E109" s="96"/>
      <c r="F109" s="308">
        <v>78.8</v>
      </c>
      <c r="G109" s="212"/>
      <c r="H109" s="294"/>
      <c r="I109" s="212"/>
      <c r="J109" s="294"/>
      <c r="K109" s="131"/>
      <c r="L109" s="138"/>
      <c r="M109" s="138"/>
      <c r="O109" s="179"/>
      <c r="P109" s="271"/>
    </row>
    <row r="110" spans="1:16" s="451" customFormat="1" ht="15.75" outlineLevel="1">
      <c r="A110" s="90"/>
      <c r="B110" s="347"/>
      <c r="C110" s="345" t="s">
        <v>131</v>
      </c>
      <c r="D110" s="308" t="s">
        <v>81</v>
      </c>
      <c r="E110" s="96"/>
      <c r="F110" s="308">
        <v>78.8</v>
      </c>
      <c r="G110" s="212"/>
      <c r="H110" s="294"/>
      <c r="I110" s="212"/>
      <c r="J110" s="294"/>
      <c r="K110" s="131"/>
      <c r="L110" s="138"/>
      <c r="M110" s="138"/>
      <c r="O110" s="179"/>
      <c r="P110" s="271"/>
    </row>
    <row r="111" spans="1:16" s="451" customFormat="1" ht="15.75" outlineLevel="1">
      <c r="A111" s="90"/>
      <c r="B111" s="347"/>
      <c r="C111" s="345" t="s">
        <v>132</v>
      </c>
      <c r="D111" s="308" t="s">
        <v>81</v>
      </c>
      <c r="E111" s="96"/>
      <c r="F111" s="308">
        <v>78.8</v>
      </c>
      <c r="G111" s="212"/>
      <c r="H111" s="294"/>
      <c r="I111" s="212"/>
      <c r="J111" s="294"/>
      <c r="K111" s="131"/>
      <c r="L111" s="138"/>
      <c r="M111" s="138"/>
      <c r="O111" s="179"/>
      <c r="P111" s="271"/>
    </row>
    <row r="112" spans="1:16" s="451" customFormat="1" ht="15.75" outlineLevel="1">
      <c r="A112" s="90"/>
      <c r="B112" s="347"/>
      <c r="C112" s="345" t="s">
        <v>133</v>
      </c>
      <c r="D112" s="308" t="s">
        <v>81</v>
      </c>
      <c r="E112" s="96"/>
      <c r="F112" s="308">
        <v>78.8</v>
      </c>
      <c r="G112" s="212"/>
      <c r="H112" s="294"/>
      <c r="I112" s="212"/>
      <c r="J112" s="294"/>
      <c r="K112" s="131"/>
      <c r="L112" s="138"/>
      <c r="M112" s="138"/>
      <c r="O112" s="179"/>
      <c r="P112" s="271"/>
    </row>
    <row r="113" spans="1:16" s="451" customFormat="1" ht="15.75" outlineLevel="1">
      <c r="A113" s="90"/>
      <c r="B113" s="347"/>
      <c r="C113" s="345" t="s">
        <v>134</v>
      </c>
      <c r="D113" s="308" t="s">
        <v>81</v>
      </c>
      <c r="E113" s="96"/>
      <c r="F113" s="308">
        <v>78.8</v>
      </c>
      <c r="G113" s="212"/>
      <c r="H113" s="294"/>
      <c r="I113" s="212"/>
      <c r="J113" s="294"/>
      <c r="K113" s="131"/>
      <c r="L113" s="138"/>
      <c r="M113" s="138"/>
      <c r="O113" s="179"/>
      <c r="P113" s="271"/>
    </row>
    <row r="114" spans="1:16" s="451" customFormat="1" ht="15.75" outlineLevel="1">
      <c r="A114" s="90"/>
      <c r="B114" s="347"/>
      <c r="C114" s="345" t="s">
        <v>135</v>
      </c>
      <c r="D114" s="308" t="s">
        <v>81</v>
      </c>
      <c r="E114" s="96"/>
      <c r="F114" s="308">
        <v>78.8</v>
      </c>
      <c r="G114" s="212"/>
      <c r="H114" s="294"/>
      <c r="I114" s="212"/>
      <c r="J114" s="294"/>
      <c r="K114" s="131"/>
      <c r="L114" s="138"/>
      <c r="M114" s="138"/>
      <c r="O114" s="179"/>
      <c r="P114" s="271"/>
    </row>
    <row r="115" spans="1:16" s="451" customFormat="1" ht="15.75" outlineLevel="1">
      <c r="A115" s="90"/>
      <c r="B115" s="347"/>
      <c r="C115" s="345" t="s">
        <v>136</v>
      </c>
      <c r="D115" s="308" t="s">
        <v>81</v>
      </c>
      <c r="E115" s="96"/>
      <c r="F115" s="308">
        <v>78.8</v>
      </c>
      <c r="G115" s="212"/>
      <c r="H115" s="294"/>
      <c r="I115" s="212"/>
      <c r="J115" s="294"/>
      <c r="K115" s="131"/>
      <c r="L115" s="138"/>
      <c r="M115" s="138"/>
      <c r="O115" s="179"/>
      <c r="P115" s="271"/>
    </row>
    <row r="116" spans="1:16" s="451" customFormat="1" ht="15.75" outlineLevel="1">
      <c r="A116" s="90"/>
      <c r="B116" s="347"/>
      <c r="C116" s="345" t="s">
        <v>137</v>
      </c>
      <c r="D116" s="308" t="s">
        <v>81</v>
      </c>
      <c r="E116" s="96"/>
      <c r="F116" s="308">
        <v>78.8</v>
      </c>
      <c r="G116" s="212"/>
      <c r="H116" s="294"/>
      <c r="I116" s="212"/>
      <c r="J116" s="294"/>
      <c r="K116" s="131"/>
      <c r="L116" s="138"/>
      <c r="M116" s="138"/>
      <c r="O116" s="179"/>
      <c r="P116" s="271"/>
    </row>
    <row r="117" spans="1:16" s="451" customFormat="1" ht="15.75" outlineLevel="1">
      <c r="A117" s="90"/>
      <c r="B117" s="347"/>
      <c r="C117" s="345" t="s">
        <v>138</v>
      </c>
      <c r="D117" s="308" t="s">
        <v>81</v>
      </c>
      <c r="E117" s="96"/>
      <c r="F117" s="308">
        <v>78.8</v>
      </c>
      <c r="G117" s="212"/>
      <c r="H117" s="294"/>
      <c r="I117" s="212"/>
      <c r="J117" s="294"/>
      <c r="K117" s="131"/>
      <c r="L117" s="138"/>
      <c r="M117" s="138"/>
      <c r="O117" s="179"/>
      <c r="P117" s="271"/>
    </row>
    <row r="118" spans="1:16" s="451" customFormat="1" ht="15.75" outlineLevel="1">
      <c r="A118" s="90"/>
      <c r="B118" s="347"/>
      <c r="C118" s="345" t="s">
        <v>139</v>
      </c>
      <c r="D118" s="308" t="s">
        <v>81</v>
      </c>
      <c r="E118" s="96"/>
      <c r="F118" s="308"/>
      <c r="G118" s="212"/>
      <c r="H118" s="294"/>
      <c r="I118" s="212"/>
      <c r="J118" s="294"/>
      <c r="K118" s="131"/>
      <c r="L118" s="138"/>
      <c r="M118" s="138"/>
      <c r="O118" s="179"/>
      <c r="P118" s="271"/>
    </row>
    <row r="119" spans="1:16" ht="15.75">
      <c r="A119" s="91"/>
      <c r="B119" s="349"/>
      <c r="C119" s="310" t="s">
        <v>187</v>
      </c>
      <c r="D119" s="328" t="s">
        <v>142</v>
      </c>
      <c r="E119" s="305">
        <v>6</v>
      </c>
      <c r="F119" s="301">
        <f>E119*F102</f>
        <v>7091.999999999998</v>
      </c>
      <c r="G119" s="315">
        <f>O119/$K$4</f>
        <v>0</v>
      </c>
      <c r="H119" s="313">
        <f>F119*G119</f>
        <v>0</v>
      </c>
      <c r="I119" s="214"/>
      <c r="J119" s="313"/>
      <c r="K119" s="131">
        <f aca="true" t="shared" si="9" ref="K119:K121">H119+J119</f>
        <v>0</v>
      </c>
      <c r="L119" s="139"/>
      <c r="M119" s="139"/>
      <c r="O119" s="176"/>
      <c r="P119" s="269"/>
    </row>
    <row r="120" spans="1:16" ht="15.75">
      <c r="A120" s="91"/>
      <c r="B120" s="349"/>
      <c r="C120" s="310" t="s">
        <v>188</v>
      </c>
      <c r="D120" s="260" t="s">
        <v>81</v>
      </c>
      <c r="E120" s="305">
        <v>1.05</v>
      </c>
      <c r="F120" s="301">
        <f>E120*F102</f>
        <v>1241.1</v>
      </c>
      <c r="G120" s="315">
        <f>O120/$K$4</f>
        <v>0</v>
      </c>
      <c r="H120" s="313">
        <f>F120*G120</f>
        <v>0</v>
      </c>
      <c r="I120" s="214"/>
      <c r="J120" s="313"/>
      <c r="K120" s="131">
        <f t="shared" si="9"/>
        <v>0</v>
      </c>
      <c r="L120" s="139"/>
      <c r="M120" s="139"/>
      <c r="O120" s="176"/>
      <c r="P120" s="269"/>
    </row>
    <row r="121" spans="1:16" ht="10.8" thickBot="1">
      <c r="A121" s="91"/>
      <c r="B121" s="349"/>
      <c r="C121" s="310" t="s">
        <v>33</v>
      </c>
      <c r="D121" s="260"/>
      <c r="E121" s="305">
        <v>1</v>
      </c>
      <c r="F121" s="301">
        <f>E121*F102</f>
        <v>1181.9999999999998</v>
      </c>
      <c r="G121" s="315">
        <f>O121/$K$4</f>
        <v>0</v>
      </c>
      <c r="H121" s="313">
        <f>F121*G121</f>
        <v>0</v>
      </c>
      <c r="I121" s="214"/>
      <c r="J121" s="313"/>
      <c r="K121" s="131">
        <f t="shared" si="9"/>
        <v>0</v>
      </c>
      <c r="L121" s="140"/>
      <c r="M121" s="140"/>
      <c r="O121" s="176"/>
      <c r="P121" s="269"/>
    </row>
    <row r="122" spans="1:16" s="451" customFormat="1" ht="15.75">
      <c r="A122" s="445">
        <v>7</v>
      </c>
      <c r="B122" s="324"/>
      <c r="C122" s="344" t="s">
        <v>259</v>
      </c>
      <c r="D122" s="306" t="s">
        <v>66</v>
      </c>
      <c r="E122" s="303"/>
      <c r="F122" s="300">
        <f>6.5*2*16</f>
        <v>208</v>
      </c>
      <c r="G122" s="340"/>
      <c r="H122" s="338"/>
      <c r="I122" s="343">
        <f>P122/$K$4</f>
        <v>0</v>
      </c>
      <c r="J122" s="338">
        <f>F122*I122</f>
        <v>0</v>
      </c>
      <c r="K122" s="130">
        <f>H122+J122</f>
        <v>0</v>
      </c>
      <c r="L122" s="137">
        <f>SUM(K122:K124)</f>
        <v>0</v>
      </c>
      <c r="M122" s="137">
        <f>L122/F122</f>
        <v>0</v>
      </c>
      <c r="O122" s="170"/>
      <c r="P122" s="363"/>
    </row>
    <row r="123" spans="1:16" s="451" customFormat="1" ht="15.75" outlineLevel="1">
      <c r="A123" s="90"/>
      <c r="B123" s="347"/>
      <c r="C123" s="310" t="s">
        <v>260</v>
      </c>
      <c r="D123" s="260" t="s">
        <v>66</v>
      </c>
      <c r="E123" s="305">
        <v>1.05</v>
      </c>
      <c r="F123" s="312">
        <f>E123*F122</f>
        <v>218.4</v>
      </c>
      <c r="G123" s="315">
        <f>O123/$K$4</f>
        <v>0</v>
      </c>
      <c r="H123" s="313">
        <f>F123*G123</f>
        <v>0</v>
      </c>
      <c r="I123" s="214"/>
      <c r="J123" s="313"/>
      <c r="K123" s="131">
        <f aca="true" t="shared" si="10" ref="K123:K124">H123+J123</f>
        <v>0</v>
      </c>
      <c r="L123" s="138"/>
      <c r="M123" s="138"/>
      <c r="O123" s="259"/>
      <c r="P123" s="271"/>
    </row>
    <row r="124" spans="1:16" ht="10.8" thickBot="1">
      <c r="A124" s="91"/>
      <c r="B124" s="94"/>
      <c r="C124" s="310" t="s">
        <v>33</v>
      </c>
      <c r="D124" s="307"/>
      <c r="E124" s="305">
        <v>1</v>
      </c>
      <c r="F124" s="301">
        <f>E124*F122</f>
        <v>208</v>
      </c>
      <c r="G124" s="315">
        <f>O124/$K$4</f>
        <v>0</v>
      </c>
      <c r="H124" s="313">
        <f>F124*G124</f>
        <v>0</v>
      </c>
      <c r="I124" s="214"/>
      <c r="J124" s="313"/>
      <c r="K124" s="131">
        <f t="shared" si="10"/>
        <v>0</v>
      </c>
      <c r="L124" s="139"/>
      <c r="M124" s="139"/>
      <c r="O124" s="259"/>
      <c r="P124" s="269"/>
    </row>
    <row r="125" spans="1:16" ht="10.8" thickBot="1">
      <c r="A125" s="288"/>
      <c r="B125" s="288"/>
      <c r="C125" s="54"/>
      <c r="D125" s="288"/>
      <c r="E125" s="54"/>
      <c r="F125" s="288"/>
      <c r="G125" s="288"/>
      <c r="H125" s="52"/>
      <c r="I125" s="288"/>
      <c r="J125" s="52"/>
      <c r="K125" s="288"/>
      <c r="L125" s="52"/>
      <c r="M125" s="288"/>
      <c r="N125" s="186"/>
      <c r="O125" s="183"/>
      <c r="P125" s="270"/>
    </row>
    <row r="126" spans="1:14" ht="23.4" thickBot="1">
      <c r="A126" s="850" t="s">
        <v>89</v>
      </c>
      <c r="B126" s="851"/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206"/>
    </row>
    <row r="127" spans="1:16" s="451" customFormat="1" ht="15.75">
      <c r="A127" s="445">
        <v>8</v>
      </c>
      <c r="B127" s="324"/>
      <c r="C127" s="344" t="s">
        <v>279</v>
      </c>
      <c r="D127" s="306" t="s">
        <v>81</v>
      </c>
      <c r="E127" s="303"/>
      <c r="F127" s="300">
        <f>SUM(F128:F143)</f>
        <v>1085.9999999999998</v>
      </c>
      <c r="G127" s="340"/>
      <c r="H127" s="338"/>
      <c r="I127" s="343">
        <f>P127/$K$4</f>
        <v>0</v>
      </c>
      <c r="J127" s="338">
        <f>F127*I127</f>
        <v>0</v>
      </c>
      <c r="K127" s="130">
        <f>H127+J127</f>
        <v>0</v>
      </c>
      <c r="L127" s="137">
        <f>SUM(K127:K148)</f>
        <v>0</v>
      </c>
      <c r="M127" s="137">
        <f>L127/F127</f>
        <v>0</v>
      </c>
      <c r="O127" s="170"/>
      <c r="P127" s="363"/>
    </row>
    <row r="128" spans="1:16" s="451" customFormat="1" ht="15.75" outlineLevel="1">
      <c r="A128" s="90"/>
      <c r="B128" s="347"/>
      <c r="C128" s="345" t="s">
        <v>92</v>
      </c>
      <c r="D128" s="308" t="s">
        <v>81</v>
      </c>
      <c r="E128" s="96"/>
      <c r="F128" s="308">
        <f>F13+F33</f>
        <v>72.4</v>
      </c>
      <c r="G128" s="212"/>
      <c r="H128" s="294"/>
      <c r="I128" s="212"/>
      <c r="J128" s="294"/>
      <c r="K128" s="131"/>
      <c r="L128" s="138"/>
      <c r="M128" s="138"/>
      <c r="O128" s="179"/>
      <c r="P128" s="271"/>
    </row>
    <row r="129" spans="1:16" s="451" customFormat="1" ht="15.75" outlineLevel="1">
      <c r="A129" s="90"/>
      <c r="B129" s="347"/>
      <c r="C129" s="345" t="s">
        <v>125</v>
      </c>
      <c r="D129" s="308" t="s">
        <v>81</v>
      </c>
      <c r="E129" s="96"/>
      <c r="F129" s="308">
        <f aca="true" t="shared" si="11" ref="F129:F143">F14+F34</f>
        <v>72.4</v>
      </c>
      <c r="G129" s="212"/>
      <c r="H129" s="294"/>
      <c r="I129" s="212"/>
      <c r="J129" s="294"/>
      <c r="K129" s="131"/>
      <c r="L129" s="138"/>
      <c r="M129" s="138"/>
      <c r="O129" s="179"/>
      <c r="P129" s="271"/>
    </row>
    <row r="130" spans="1:16" s="451" customFormat="1" ht="15.75" outlineLevel="1">
      <c r="A130" s="90"/>
      <c r="B130" s="347"/>
      <c r="C130" s="345" t="s">
        <v>126</v>
      </c>
      <c r="D130" s="308" t="s">
        <v>81</v>
      </c>
      <c r="E130" s="96"/>
      <c r="F130" s="308">
        <f t="shared" si="11"/>
        <v>72.4</v>
      </c>
      <c r="G130" s="212"/>
      <c r="H130" s="294"/>
      <c r="I130" s="212"/>
      <c r="J130" s="294"/>
      <c r="K130" s="131"/>
      <c r="L130" s="138"/>
      <c r="M130" s="138"/>
      <c r="O130" s="179"/>
      <c r="P130" s="271"/>
    </row>
    <row r="131" spans="1:16" s="451" customFormat="1" ht="15.75" outlineLevel="1">
      <c r="A131" s="90"/>
      <c r="B131" s="347"/>
      <c r="C131" s="345" t="s">
        <v>127</v>
      </c>
      <c r="D131" s="308" t="s">
        <v>81</v>
      </c>
      <c r="E131" s="96"/>
      <c r="F131" s="308">
        <f t="shared" si="11"/>
        <v>72.4</v>
      </c>
      <c r="G131" s="212"/>
      <c r="H131" s="294"/>
      <c r="I131" s="212"/>
      <c r="J131" s="294"/>
      <c r="K131" s="131"/>
      <c r="L131" s="138"/>
      <c r="M131" s="138"/>
      <c r="O131" s="179"/>
      <c r="P131" s="271"/>
    </row>
    <row r="132" spans="1:16" s="451" customFormat="1" ht="15.75" outlineLevel="1">
      <c r="A132" s="90"/>
      <c r="B132" s="347"/>
      <c r="C132" s="345" t="s">
        <v>128</v>
      </c>
      <c r="D132" s="308" t="s">
        <v>81</v>
      </c>
      <c r="E132" s="96"/>
      <c r="F132" s="308">
        <f t="shared" si="11"/>
        <v>72.4</v>
      </c>
      <c r="G132" s="212"/>
      <c r="H132" s="294"/>
      <c r="I132" s="212"/>
      <c r="J132" s="294"/>
      <c r="K132" s="131"/>
      <c r="L132" s="138"/>
      <c r="M132" s="138"/>
      <c r="O132" s="179"/>
      <c r="P132" s="271"/>
    </row>
    <row r="133" spans="1:16" s="451" customFormat="1" ht="15.75" outlineLevel="1">
      <c r="A133" s="90"/>
      <c r="B133" s="347"/>
      <c r="C133" s="345" t="s">
        <v>129</v>
      </c>
      <c r="D133" s="308" t="s">
        <v>81</v>
      </c>
      <c r="E133" s="96"/>
      <c r="F133" s="308">
        <f t="shared" si="11"/>
        <v>72.4</v>
      </c>
      <c r="G133" s="212"/>
      <c r="H133" s="294"/>
      <c r="I133" s="212"/>
      <c r="J133" s="294"/>
      <c r="K133" s="131"/>
      <c r="L133" s="138"/>
      <c r="M133" s="138"/>
      <c r="O133" s="179"/>
      <c r="P133" s="271"/>
    </row>
    <row r="134" spans="1:16" s="451" customFormat="1" ht="15.75" outlineLevel="1">
      <c r="A134" s="90"/>
      <c r="B134" s="347"/>
      <c r="C134" s="345" t="s">
        <v>130</v>
      </c>
      <c r="D134" s="308" t="s">
        <v>81</v>
      </c>
      <c r="E134" s="96"/>
      <c r="F134" s="308">
        <f t="shared" si="11"/>
        <v>72.4</v>
      </c>
      <c r="G134" s="212"/>
      <c r="H134" s="294"/>
      <c r="I134" s="212"/>
      <c r="J134" s="294"/>
      <c r="K134" s="131"/>
      <c r="L134" s="138"/>
      <c r="M134" s="138"/>
      <c r="O134" s="179"/>
      <c r="P134" s="271"/>
    </row>
    <row r="135" spans="1:16" s="451" customFormat="1" ht="15.75" outlineLevel="1">
      <c r="A135" s="90"/>
      <c r="B135" s="347"/>
      <c r="C135" s="345" t="s">
        <v>131</v>
      </c>
      <c r="D135" s="308" t="s">
        <v>81</v>
      </c>
      <c r="E135" s="96"/>
      <c r="F135" s="308">
        <f t="shared" si="11"/>
        <v>72.4</v>
      </c>
      <c r="G135" s="212"/>
      <c r="H135" s="294"/>
      <c r="I135" s="212"/>
      <c r="J135" s="294"/>
      <c r="K135" s="131"/>
      <c r="L135" s="138"/>
      <c r="M135" s="138"/>
      <c r="O135" s="179"/>
      <c r="P135" s="271"/>
    </row>
    <row r="136" spans="1:16" s="451" customFormat="1" ht="15.75" outlineLevel="1">
      <c r="A136" s="90"/>
      <c r="B136" s="347"/>
      <c r="C136" s="345" t="s">
        <v>132</v>
      </c>
      <c r="D136" s="308" t="s">
        <v>81</v>
      </c>
      <c r="E136" s="96"/>
      <c r="F136" s="308">
        <f t="shared" si="11"/>
        <v>72.4</v>
      </c>
      <c r="G136" s="212"/>
      <c r="H136" s="294"/>
      <c r="I136" s="212"/>
      <c r="J136" s="294"/>
      <c r="K136" s="131"/>
      <c r="L136" s="138"/>
      <c r="M136" s="138"/>
      <c r="O136" s="179"/>
      <c r="P136" s="271"/>
    </row>
    <row r="137" spans="1:16" s="451" customFormat="1" ht="15.75" outlineLevel="1">
      <c r="A137" s="90"/>
      <c r="B137" s="347"/>
      <c r="C137" s="345" t="s">
        <v>133</v>
      </c>
      <c r="D137" s="308" t="s">
        <v>81</v>
      </c>
      <c r="E137" s="96"/>
      <c r="F137" s="308">
        <f t="shared" si="11"/>
        <v>72.4</v>
      </c>
      <c r="G137" s="212"/>
      <c r="H137" s="294"/>
      <c r="I137" s="212"/>
      <c r="J137" s="294"/>
      <c r="K137" s="131"/>
      <c r="L137" s="138"/>
      <c r="M137" s="138"/>
      <c r="O137" s="179"/>
      <c r="P137" s="271"/>
    </row>
    <row r="138" spans="1:16" s="451" customFormat="1" ht="15.75" outlineLevel="1">
      <c r="A138" s="90"/>
      <c r="B138" s="347"/>
      <c r="C138" s="345" t="s">
        <v>134</v>
      </c>
      <c r="D138" s="308" t="s">
        <v>81</v>
      </c>
      <c r="E138" s="96"/>
      <c r="F138" s="308">
        <f t="shared" si="11"/>
        <v>72.4</v>
      </c>
      <c r="G138" s="212"/>
      <c r="H138" s="294"/>
      <c r="I138" s="212"/>
      <c r="J138" s="294"/>
      <c r="K138" s="131"/>
      <c r="L138" s="138"/>
      <c r="M138" s="138"/>
      <c r="O138" s="179"/>
      <c r="P138" s="271"/>
    </row>
    <row r="139" spans="1:16" s="451" customFormat="1" ht="15.75" outlineLevel="1">
      <c r="A139" s="90"/>
      <c r="B139" s="347"/>
      <c r="C139" s="345" t="s">
        <v>135</v>
      </c>
      <c r="D139" s="308" t="s">
        <v>81</v>
      </c>
      <c r="E139" s="96"/>
      <c r="F139" s="308">
        <f t="shared" si="11"/>
        <v>72.4</v>
      </c>
      <c r="G139" s="212"/>
      <c r="H139" s="294"/>
      <c r="I139" s="212"/>
      <c r="J139" s="294"/>
      <c r="K139" s="131"/>
      <c r="L139" s="138"/>
      <c r="M139" s="138"/>
      <c r="O139" s="179"/>
      <c r="P139" s="271"/>
    </row>
    <row r="140" spans="1:16" s="451" customFormat="1" ht="15.75" outlineLevel="1">
      <c r="A140" s="90"/>
      <c r="B140" s="347"/>
      <c r="C140" s="345" t="s">
        <v>136</v>
      </c>
      <c r="D140" s="308" t="s">
        <v>81</v>
      </c>
      <c r="E140" s="96"/>
      <c r="F140" s="308">
        <f t="shared" si="11"/>
        <v>72.4</v>
      </c>
      <c r="G140" s="212"/>
      <c r="H140" s="294"/>
      <c r="I140" s="212"/>
      <c r="J140" s="294"/>
      <c r="K140" s="131"/>
      <c r="L140" s="138"/>
      <c r="M140" s="138"/>
      <c r="O140" s="179"/>
      <c r="P140" s="271"/>
    </row>
    <row r="141" spans="1:16" s="451" customFormat="1" ht="15.75" outlineLevel="1">
      <c r="A141" s="90"/>
      <c r="B141" s="347"/>
      <c r="C141" s="345" t="s">
        <v>137</v>
      </c>
      <c r="D141" s="308" t="s">
        <v>81</v>
      </c>
      <c r="E141" s="96"/>
      <c r="F141" s="308">
        <f t="shared" si="11"/>
        <v>72.4</v>
      </c>
      <c r="G141" s="212"/>
      <c r="H141" s="294"/>
      <c r="I141" s="212"/>
      <c r="J141" s="294"/>
      <c r="K141" s="131"/>
      <c r="L141" s="138"/>
      <c r="M141" s="138"/>
      <c r="O141" s="179"/>
      <c r="P141" s="271"/>
    </row>
    <row r="142" spans="1:16" s="451" customFormat="1" ht="15.75" outlineLevel="1">
      <c r="A142" s="90"/>
      <c r="B142" s="347"/>
      <c r="C142" s="345" t="s">
        <v>138</v>
      </c>
      <c r="D142" s="308" t="s">
        <v>81</v>
      </c>
      <c r="E142" s="96"/>
      <c r="F142" s="308">
        <f t="shared" si="11"/>
        <v>72.4</v>
      </c>
      <c r="G142" s="212"/>
      <c r="H142" s="294"/>
      <c r="I142" s="212"/>
      <c r="J142" s="294"/>
      <c r="K142" s="131"/>
      <c r="L142" s="138"/>
      <c r="M142" s="138"/>
      <c r="O142" s="179"/>
      <c r="P142" s="271"/>
    </row>
    <row r="143" spans="1:16" s="451" customFormat="1" ht="15.75" outlineLevel="1">
      <c r="A143" s="90"/>
      <c r="B143" s="347"/>
      <c r="C143" s="345" t="s">
        <v>139</v>
      </c>
      <c r="D143" s="308" t="s">
        <v>81</v>
      </c>
      <c r="E143" s="96"/>
      <c r="F143" s="308">
        <f t="shared" si="11"/>
        <v>0</v>
      </c>
      <c r="G143" s="212"/>
      <c r="H143" s="294"/>
      <c r="I143" s="212"/>
      <c r="J143" s="294"/>
      <c r="K143" s="131"/>
      <c r="L143" s="138"/>
      <c r="M143" s="138"/>
      <c r="O143" s="179"/>
      <c r="P143" s="271"/>
    </row>
    <row r="144" spans="1:16" s="451" customFormat="1" ht="15.75" outlineLevel="1">
      <c r="A144" s="90"/>
      <c r="B144" s="347"/>
      <c r="C144" s="310" t="s">
        <v>141</v>
      </c>
      <c r="D144" s="260" t="s">
        <v>142</v>
      </c>
      <c r="E144" s="305">
        <v>0.83</v>
      </c>
      <c r="F144" s="312">
        <f>E144*F127</f>
        <v>901.3799999999998</v>
      </c>
      <c r="G144" s="315">
        <f>O144/$K$4</f>
        <v>0</v>
      </c>
      <c r="H144" s="313">
        <f>F144*G144</f>
        <v>0</v>
      </c>
      <c r="I144" s="214"/>
      <c r="J144" s="313"/>
      <c r="K144" s="131">
        <f aca="true" t="shared" si="12" ref="K144:K148">H144+J144</f>
        <v>0</v>
      </c>
      <c r="L144" s="138"/>
      <c r="M144" s="138"/>
      <c r="O144" s="259"/>
      <c r="P144" s="271"/>
    </row>
    <row r="145" spans="1:16" ht="15.75">
      <c r="A145" s="91"/>
      <c r="B145" s="94"/>
      <c r="C145" s="310" t="s">
        <v>143</v>
      </c>
      <c r="D145" s="307" t="s">
        <v>66</v>
      </c>
      <c r="E145" s="305">
        <v>1.2</v>
      </c>
      <c r="F145" s="301">
        <f>E145*F127</f>
        <v>1303.1999999999996</v>
      </c>
      <c r="G145" s="315">
        <f>O145/$K$4</f>
        <v>0</v>
      </c>
      <c r="H145" s="313">
        <f>F145*G145</f>
        <v>0</v>
      </c>
      <c r="I145" s="214"/>
      <c r="J145" s="313"/>
      <c r="K145" s="131">
        <f t="shared" si="12"/>
        <v>0</v>
      </c>
      <c r="L145" s="139"/>
      <c r="M145" s="139"/>
      <c r="O145" s="259"/>
      <c r="P145" s="269"/>
    </row>
    <row r="146" spans="1:16" ht="15.75">
      <c r="A146" s="91"/>
      <c r="B146" s="94"/>
      <c r="C146" s="310" t="s">
        <v>144</v>
      </c>
      <c r="D146" s="307" t="s">
        <v>145</v>
      </c>
      <c r="E146" s="305">
        <f>18/100</f>
        <v>0.18</v>
      </c>
      <c r="F146" s="301">
        <f>E146*F127</f>
        <v>195.47999999999996</v>
      </c>
      <c r="G146" s="315">
        <f>O146/$K$4</f>
        <v>0</v>
      </c>
      <c r="H146" s="313">
        <f>F146*G146</f>
        <v>0</v>
      </c>
      <c r="I146" s="214"/>
      <c r="J146" s="313"/>
      <c r="K146" s="131">
        <f t="shared" si="12"/>
        <v>0</v>
      </c>
      <c r="L146" s="139"/>
      <c r="M146" s="139"/>
      <c r="O146" s="259"/>
      <c r="P146" s="269"/>
    </row>
    <row r="147" spans="1:16" ht="15.75">
      <c r="A147" s="91"/>
      <c r="B147" s="94"/>
      <c r="C147" s="310" t="s">
        <v>146</v>
      </c>
      <c r="D147" s="307" t="s">
        <v>142</v>
      </c>
      <c r="E147" s="305">
        <v>0.5</v>
      </c>
      <c r="F147" s="301">
        <f>E147*F127</f>
        <v>542.9999999999999</v>
      </c>
      <c r="G147" s="315">
        <f aca="true" t="shared" si="13" ref="G147:G148">O147/$K$4</f>
        <v>0</v>
      </c>
      <c r="H147" s="313">
        <f aca="true" t="shared" si="14" ref="H147:H148">F147*G147</f>
        <v>0</v>
      </c>
      <c r="I147" s="214"/>
      <c r="J147" s="313"/>
      <c r="K147" s="131">
        <f t="shared" si="12"/>
        <v>0</v>
      </c>
      <c r="L147" s="139"/>
      <c r="M147" s="139"/>
      <c r="O147" s="259"/>
      <c r="P147" s="269"/>
    </row>
    <row r="148" spans="1:16" ht="10.8" thickBot="1">
      <c r="A148" s="91"/>
      <c r="B148" s="94"/>
      <c r="C148" s="310" t="s">
        <v>33</v>
      </c>
      <c r="D148" s="307"/>
      <c r="E148" s="305">
        <v>1</v>
      </c>
      <c r="F148" s="301">
        <f>E148*F127</f>
        <v>1085.9999999999998</v>
      </c>
      <c r="G148" s="315">
        <f t="shared" si="13"/>
        <v>0</v>
      </c>
      <c r="H148" s="313">
        <f t="shared" si="14"/>
        <v>0</v>
      </c>
      <c r="I148" s="214"/>
      <c r="J148" s="313"/>
      <c r="K148" s="131">
        <f t="shared" si="12"/>
        <v>0</v>
      </c>
      <c r="L148" s="139"/>
      <c r="M148" s="139"/>
      <c r="O148" s="259"/>
      <c r="P148" s="269"/>
    </row>
    <row r="149" spans="1:16" ht="10.8" thickBot="1">
      <c r="A149" s="288"/>
      <c r="B149" s="288"/>
      <c r="C149" s="54"/>
      <c r="D149" s="288"/>
      <c r="E149" s="54"/>
      <c r="F149" s="288"/>
      <c r="G149" s="288"/>
      <c r="H149" s="52"/>
      <c r="I149" s="288"/>
      <c r="J149" s="52"/>
      <c r="K149" s="288"/>
      <c r="L149" s="52"/>
      <c r="M149" s="288"/>
      <c r="N149" s="186"/>
      <c r="O149" s="183"/>
      <c r="P149" s="270"/>
    </row>
    <row r="150" spans="1:16" s="12" customFormat="1" ht="10.8" thickBot="1">
      <c r="A150" s="6"/>
      <c r="B150" s="6"/>
      <c r="C150" s="6"/>
      <c r="D150" s="6"/>
      <c r="E150" s="6"/>
      <c r="F150" s="444"/>
      <c r="G150" s="149"/>
      <c r="H150" s="159">
        <f>SUM(H12:H148)</f>
        <v>0</v>
      </c>
      <c r="I150" s="156"/>
      <c r="J150" s="159">
        <f>SUM(J12:J148)</f>
        <v>0</v>
      </c>
      <c r="K150" s="166"/>
      <c r="L150" s="134"/>
      <c r="M150" s="134"/>
      <c r="O150" s="182"/>
      <c r="P150" s="124"/>
    </row>
    <row r="151" spans="1:16" s="12" customFormat="1" ht="10.8" thickBot="1">
      <c r="A151" s="6"/>
      <c r="B151" s="6"/>
      <c r="C151" s="6"/>
      <c r="D151" s="6"/>
      <c r="E151" s="6"/>
      <c r="F151" s="444"/>
      <c r="G151" s="150"/>
      <c r="H151" s="82" t="s">
        <v>67</v>
      </c>
      <c r="I151" s="225">
        <v>0.02</v>
      </c>
      <c r="J151" s="160"/>
      <c r="K151" s="98">
        <f>I151*H150</f>
        <v>0</v>
      </c>
      <c r="L151" s="134"/>
      <c r="M151" s="134"/>
      <c r="O151" s="182"/>
      <c r="P151" s="124"/>
    </row>
    <row r="152" spans="1:16" s="12" customFormat="1" ht="10.8" thickBot="1">
      <c r="A152" s="6"/>
      <c r="B152" s="6"/>
      <c r="C152" s="6"/>
      <c r="D152" s="6"/>
      <c r="E152" s="6"/>
      <c r="F152" s="444"/>
      <c r="G152" s="149"/>
      <c r="H152" s="31"/>
      <c r="I152" s="226"/>
      <c r="J152" s="159"/>
      <c r="K152" s="99"/>
      <c r="L152" s="134"/>
      <c r="M152" s="134"/>
      <c r="O152" s="181"/>
      <c r="P152" s="181"/>
    </row>
    <row r="153" spans="1:16" s="12" customFormat="1" ht="10.8" thickBot="1">
      <c r="A153" s="6"/>
      <c r="B153" s="6"/>
      <c r="C153" s="1"/>
      <c r="D153" s="792"/>
      <c r="E153" s="1"/>
      <c r="F153" s="451"/>
      <c r="G153" s="150"/>
      <c r="H153" s="625" t="s">
        <v>56</v>
      </c>
      <c r="I153" s="225"/>
      <c r="J153" s="160"/>
      <c r="K153" s="98">
        <f>SUM(K12:K151)</f>
        <v>0</v>
      </c>
      <c r="L153" s="134"/>
      <c r="M153" s="134"/>
      <c r="O153" s="181"/>
      <c r="P153" s="181"/>
    </row>
    <row r="154" spans="1:16" s="12" customFormat="1" ht="10.8" thickBot="1">
      <c r="A154" s="6"/>
      <c r="B154" s="6"/>
      <c r="C154" s="1"/>
      <c r="D154" s="792"/>
      <c r="E154" s="1"/>
      <c r="F154" s="451"/>
      <c r="G154" s="151"/>
      <c r="H154" s="34"/>
      <c r="I154" s="227"/>
      <c r="J154" s="161"/>
      <c r="K154" s="100"/>
      <c r="L154" s="134"/>
      <c r="M154" s="134"/>
      <c r="O154" s="181"/>
      <c r="P154" s="181"/>
    </row>
    <row r="155" spans="2:16" s="12" customFormat="1" ht="15.75">
      <c r="B155" s="85"/>
      <c r="C155" s="8"/>
      <c r="F155" s="13"/>
      <c r="G155" s="152"/>
      <c r="H155" s="44" t="s">
        <v>68</v>
      </c>
      <c r="I155" s="228">
        <v>0.08</v>
      </c>
      <c r="J155" s="162"/>
      <c r="K155" s="101">
        <f>K153*I155</f>
        <v>0</v>
      </c>
      <c r="L155" s="134"/>
      <c r="M155" s="134"/>
      <c r="O155" s="181"/>
      <c r="P155" s="181"/>
    </row>
    <row r="156" spans="2:16" s="12" customFormat="1" ht="10.8" thickBot="1">
      <c r="B156" s="85"/>
      <c r="C156" s="8"/>
      <c r="F156" s="13"/>
      <c r="G156" s="153"/>
      <c r="H156" s="42" t="s">
        <v>56</v>
      </c>
      <c r="I156" s="229"/>
      <c r="J156" s="157"/>
      <c r="K156" s="102">
        <f>K153+K155</f>
        <v>0</v>
      </c>
      <c r="L156" s="134"/>
      <c r="M156" s="134"/>
      <c r="O156" s="181"/>
      <c r="P156" s="181"/>
    </row>
    <row r="157" spans="2:16" s="12" customFormat="1" ht="10.8" thickBot="1">
      <c r="B157" s="85"/>
      <c r="C157" s="8"/>
      <c r="F157" s="13"/>
      <c r="G157" s="154"/>
      <c r="H157" s="37"/>
      <c r="I157" s="230"/>
      <c r="J157" s="163"/>
      <c r="K157" s="103"/>
      <c r="L157" s="134"/>
      <c r="M157" s="134"/>
      <c r="O157" s="181"/>
      <c r="P157" s="181"/>
    </row>
    <row r="158" spans="2:16" s="12" customFormat="1" ht="15.75">
      <c r="B158" s="85"/>
      <c r="C158" s="8"/>
      <c r="F158" s="13"/>
      <c r="G158" s="155"/>
      <c r="H158" s="44" t="s">
        <v>69</v>
      </c>
      <c r="I158" s="228">
        <v>0.08</v>
      </c>
      <c r="J158" s="162"/>
      <c r="K158" s="101">
        <f>K156*I158</f>
        <v>0</v>
      </c>
      <c r="L158" s="134"/>
      <c r="M158" s="134"/>
      <c r="O158" s="181"/>
      <c r="P158" s="181"/>
    </row>
    <row r="159" spans="2:16" s="12" customFormat="1" ht="10.8" thickBot="1">
      <c r="B159" s="85"/>
      <c r="C159" s="8"/>
      <c r="F159" s="13"/>
      <c r="G159" s="153"/>
      <c r="H159" s="42" t="s">
        <v>56</v>
      </c>
      <c r="I159" s="229"/>
      <c r="J159" s="157"/>
      <c r="K159" s="102">
        <f>K156+K158</f>
        <v>0</v>
      </c>
      <c r="L159" s="134"/>
      <c r="M159" s="134"/>
      <c r="O159" s="181"/>
      <c r="P159" s="181"/>
    </row>
    <row r="160" spans="2:16" s="12" customFormat="1" ht="10.8" thickBot="1">
      <c r="B160" s="85"/>
      <c r="C160" s="8"/>
      <c r="F160" s="13"/>
      <c r="G160" s="154"/>
      <c r="H160" s="37"/>
      <c r="I160" s="230"/>
      <c r="J160" s="163"/>
      <c r="K160" s="103"/>
      <c r="L160" s="134"/>
      <c r="M160" s="134"/>
      <c r="P160" s="181"/>
    </row>
    <row r="161" spans="2:16" s="12" customFormat="1" ht="15.75">
      <c r="B161" s="85"/>
      <c r="C161" s="8"/>
      <c r="F161" s="13"/>
      <c r="G161" s="155"/>
      <c r="H161" s="44" t="s">
        <v>70</v>
      </c>
      <c r="I161" s="228">
        <v>0</v>
      </c>
      <c r="J161" s="162"/>
      <c r="K161" s="101">
        <f>K159*I161</f>
        <v>0</v>
      </c>
      <c r="L161" s="134"/>
      <c r="M161" s="134"/>
      <c r="O161" s="181"/>
      <c r="P161" s="181"/>
    </row>
    <row r="162" spans="1:16" s="8" customFormat="1" ht="10.8" thickBot="1">
      <c r="A162" s="12"/>
      <c r="B162" s="85"/>
      <c r="D162" s="12"/>
      <c r="E162" s="12"/>
      <c r="F162" s="13"/>
      <c r="G162" s="153"/>
      <c r="H162" s="42" t="s">
        <v>56</v>
      </c>
      <c r="I162" s="229"/>
      <c r="J162" s="157"/>
      <c r="K162" s="102">
        <f>K159+K161</f>
        <v>0</v>
      </c>
      <c r="L162" s="127"/>
      <c r="M162" s="127"/>
      <c r="O162" s="181"/>
      <c r="P162" s="181"/>
    </row>
    <row r="163" spans="1:16" s="8" customFormat="1" ht="10.8" thickBot="1">
      <c r="A163" s="12"/>
      <c r="B163" s="85"/>
      <c r="D163" s="12"/>
      <c r="E163" s="12"/>
      <c r="F163" s="13"/>
      <c r="G163" s="154"/>
      <c r="H163" s="37"/>
      <c r="I163" s="230"/>
      <c r="J163" s="163"/>
      <c r="K163" s="103"/>
      <c r="L163" s="127"/>
      <c r="M163" s="127"/>
      <c r="O163" s="181"/>
      <c r="P163" s="181"/>
    </row>
    <row r="164" spans="1:16" ht="15.75">
      <c r="A164" s="12"/>
      <c r="B164" s="85"/>
      <c r="C164" s="8"/>
      <c r="D164" s="12"/>
      <c r="E164" s="12"/>
      <c r="F164" s="13"/>
      <c r="G164" s="155"/>
      <c r="H164" s="23" t="s">
        <v>71</v>
      </c>
      <c r="I164" s="228">
        <v>0.18</v>
      </c>
      <c r="J164" s="162"/>
      <c r="K164" s="104">
        <f>K162*I164</f>
        <v>0</v>
      </c>
      <c r="L164" s="128"/>
      <c r="M164" s="128"/>
      <c r="O164" s="181"/>
      <c r="P164" s="181"/>
    </row>
    <row r="165" spans="1:16" ht="10.8" thickBot="1">
      <c r="A165" s="12"/>
      <c r="B165" s="85"/>
      <c r="C165" s="8"/>
      <c r="D165" s="12"/>
      <c r="E165" s="12"/>
      <c r="F165" s="13"/>
      <c r="G165" s="153"/>
      <c r="H165" s="17" t="s">
        <v>56</v>
      </c>
      <c r="I165" s="167" t="s">
        <v>12</v>
      </c>
      <c r="J165" s="164"/>
      <c r="K165" s="105">
        <f>K162+K164</f>
        <v>0</v>
      </c>
      <c r="L165" s="128"/>
      <c r="M165" s="128"/>
      <c r="O165" s="181"/>
      <c r="P165" s="181"/>
    </row>
    <row r="166" spans="1:16" ht="15.75">
      <c r="A166" s="12"/>
      <c r="B166" s="85"/>
      <c r="C166" s="8"/>
      <c r="D166" s="12"/>
      <c r="E166" s="12"/>
      <c r="F166" s="13"/>
      <c r="G166" s="134"/>
      <c r="H166" s="145"/>
      <c r="I166" s="134"/>
      <c r="J166" s="145"/>
      <c r="K166" s="134"/>
      <c r="L166" s="145"/>
      <c r="M166" s="145"/>
      <c r="O166" s="181"/>
      <c r="P166" s="181"/>
    </row>
    <row r="167" spans="1:16" ht="15.75">
      <c r="A167" s="8"/>
      <c r="B167" s="86"/>
      <c r="C167" s="8"/>
      <c r="D167" s="15"/>
      <c r="E167" s="8"/>
      <c r="F167" s="9"/>
      <c r="G167" s="127"/>
      <c r="H167" s="68"/>
      <c r="I167" s="127"/>
      <c r="J167" s="68"/>
      <c r="K167" s="127"/>
      <c r="L167" s="68"/>
      <c r="M167" s="68"/>
      <c r="O167" s="182"/>
      <c r="P167" s="182"/>
    </row>
  </sheetData>
  <mergeCells count="18">
    <mergeCell ref="A57:M57"/>
    <mergeCell ref="A126:M126"/>
    <mergeCell ref="K7:K8"/>
    <mergeCell ref="L7:L8"/>
    <mergeCell ref="M7:M8"/>
    <mergeCell ref="O7:O8"/>
    <mergeCell ref="P7:P8"/>
    <mergeCell ref="A11:M11"/>
    <mergeCell ref="C1:E1"/>
    <mergeCell ref="A2:C2"/>
    <mergeCell ref="I2:K2"/>
    <mergeCell ref="A3:B3"/>
    <mergeCell ref="A7:A8"/>
    <mergeCell ref="B7:B8"/>
    <mergeCell ref="D7:D8"/>
    <mergeCell ref="E7:F7"/>
    <mergeCell ref="G7:H7"/>
    <mergeCell ref="I7:J7"/>
  </mergeCells>
  <printOptions/>
  <pageMargins left="0.35000000000000003" right="0.7500000000000001" top="1" bottom="1" header="0.5" footer="0.5"/>
  <pageSetup fitToHeight="1" fitToWidth="1" horizontalDpi="600" verticalDpi="600" orientation="portrait" paperSize="9" scale="14" r:id="rId1"/>
  <headerFooter>
    <oddHeader>&amp;L&amp;16M/2&amp;12 Nutsubidze Project &amp;C&amp;"-,Bold"&amp;18&amp;UBoQ - Shell &amp; Core Works</oddHeader>
    <oddFooter>&amp;L&amp;"-,Bold"&amp;8&amp;K00-048For any queries with regards to BoQ please contact at:    cmc@cmconsulting.ge&amp;"-,Regular"&amp;12&amp;K01+000 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50"/>
  <sheetViews>
    <sheetView zoomScale="85" zoomScaleNormal="85" workbookViewId="0" topLeftCell="A1">
      <selection activeCell="O12" sqref="O12:P149"/>
    </sheetView>
  </sheetViews>
  <sheetFormatPr defaultColWidth="11.00390625" defaultRowHeight="15.75"/>
  <cols>
    <col min="1" max="1" width="4.75390625" style="0" customWidth="1"/>
    <col min="2" max="2" width="11.25390625" style="0" bestFit="1" customWidth="1"/>
    <col min="3" max="3" width="54.25390625" style="0" customWidth="1"/>
    <col min="4" max="4" width="5.50390625" style="0" customWidth="1"/>
    <col min="7" max="8" width="11.875" style="0" customWidth="1"/>
    <col min="9" max="9" width="12.75390625" style="0" customWidth="1"/>
    <col min="10" max="10" width="18.25390625" style="0" customWidth="1"/>
    <col min="11" max="11" width="11.25390625" style="0" bestFit="1" customWidth="1"/>
    <col min="14" max="14" width="7.00390625" style="0" customWidth="1"/>
    <col min="15" max="16" width="11.00390625" style="554" customWidth="1"/>
  </cols>
  <sheetData>
    <row r="1" spans="1:16" s="6" customFormat="1" ht="18" thickBot="1">
      <c r="A1" s="69"/>
      <c r="B1" s="60"/>
      <c r="C1" s="817" t="str">
        <f>TOTAL!A2</f>
        <v>სითი მოლი საბურთალო</v>
      </c>
      <c r="D1" s="817"/>
      <c r="E1" s="817"/>
      <c r="F1" s="451"/>
      <c r="G1" s="1"/>
      <c r="H1" s="451"/>
      <c r="I1" s="189"/>
      <c r="J1" s="190"/>
      <c r="K1" s="189"/>
      <c r="L1" s="451"/>
      <c r="M1" s="451"/>
      <c r="O1" s="527"/>
      <c r="P1" s="527"/>
    </row>
    <row r="2" spans="1:16" s="6" customFormat="1" ht="18" thickBot="1">
      <c r="A2" s="860" t="s">
        <v>276</v>
      </c>
      <c r="B2" s="860"/>
      <c r="C2" s="861"/>
      <c r="D2" s="629"/>
      <c r="E2" s="1"/>
      <c r="F2" s="451"/>
      <c r="G2" s="1"/>
      <c r="H2" s="290"/>
      <c r="I2" s="838"/>
      <c r="J2" s="839"/>
      <c r="K2" s="840"/>
      <c r="O2" s="527"/>
      <c r="P2" s="528"/>
    </row>
    <row r="3" spans="1:16" s="6" customFormat="1" ht="21" thickBot="1">
      <c r="A3" s="841"/>
      <c r="B3" s="841"/>
      <c r="C3" s="45"/>
      <c r="E3" s="45"/>
      <c r="F3" s="45"/>
      <c r="G3" s="45"/>
      <c r="H3" s="291"/>
      <c r="I3" s="631" t="s">
        <v>62</v>
      </c>
      <c r="J3" s="628" t="s">
        <v>63</v>
      </c>
      <c r="K3" s="385" t="s">
        <v>156</v>
      </c>
      <c r="O3" s="529"/>
      <c r="P3" s="528"/>
    </row>
    <row r="4" spans="1:16" s="6" customFormat="1" ht="18" thickBot="1">
      <c r="A4" s="69"/>
      <c r="B4" s="60"/>
      <c r="C4" s="205"/>
      <c r="D4" s="47"/>
      <c r="E4" s="46"/>
      <c r="F4" s="46"/>
      <c r="G4" s="46"/>
      <c r="H4" s="292"/>
      <c r="I4" s="530">
        <f>K146</f>
        <v>0</v>
      </c>
      <c r="J4" s="531">
        <f>I4*K4</f>
        <v>0</v>
      </c>
      <c r="K4" s="638">
        <f>TOTAL!C24</f>
        <v>2.45</v>
      </c>
      <c r="O4" s="532"/>
      <c r="P4" s="528"/>
    </row>
    <row r="5" spans="1:16" s="6" customFormat="1" ht="10.2">
      <c r="A5" s="69"/>
      <c r="B5" s="60"/>
      <c r="C5" s="1"/>
      <c r="D5" s="47"/>
      <c r="E5" s="46"/>
      <c r="F5" s="46"/>
      <c r="G5" s="46"/>
      <c r="H5" s="46"/>
      <c r="I5" s="533"/>
      <c r="J5" s="68"/>
      <c r="K5" s="234"/>
      <c r="O5" s="532"/>
      <c r="P5" s="533"/>
    </row>
    <row r="6" spans="1:16" s="6" customFormat="1" ht="36" customHeight="1" thickBot="1">
      <c r="A6" s="69"/>
      <c r="B6" s="60"/>
      <c r="C6" s="454"/>
      <c r="D6" s="629"/>
      <c r="E6" s="629"/>
      <c r="F6" s="3"/>
      <c r="G6" s="629"/>
      <c r="H6" s="3"/>
      <c r="I6" s="629"/>
      <c r="J6" s="451"/>
      <c r="K6" s="8"/>
      <c r="L6" s="9"/>
      <c r="M6" s="9"/>
      <c r="O6" s="534"/>
      <c r="P6" s="534"/>
    </row>
    <row r="7" spans="1:16" s="6" customFormat="1" ht="22.5" customHeight="1" thickBot="1">
      <c r="A7" s="842" t="s">
        <v>28</v>
      </c>
      <c r="B7" s="844" t="s">
        <v>61</v>
      </c>
      <c r="C7" s="321" t="s">
        <v>52</v>
      </c>
      <c r="D7" s="846" t="s">
        <v>53</v>
      </c>
      <c r="E7" s="838" t="s">
        <v>50</v>
      </c>
      <c r="F7" s="840"/>
      <c r="G7" s="838" t="s">
        <v>54</v>
      </c>
      <c r="H7" s="840"/>
      <c r="I7" s="838" t="s">
        <v>157</v>
      </c>
      <c r="J7" s="840"/>
      <c r="K7" s="830" t="s">
        <v>56</v>
      </c>
      <c r="L7" s="830" t="s">
        <v>57</v>
      </c>
      <c r="M7" s="830" t="s">
        <v>58</v>
      </c>
      <c r="O7" s="832" t="s">
        <v>148</v>
      </c>
      <c r="P7" s="834" t="s">
        <v>149</v>
      </c>
    </row>
    <row r="8" spans="1:17" s="6" customFormat="1" ht="34.2" customHeight="1" thickBot="1">
      <c r="A8" s="843"/>
      <c r="B8" s="845"/>
      <c r="C8" s="282"/>
      <c r="D8" s="847"/>
      <c r="E8" s="204" t="s">
        <v>59</v>
      </c>
      <c r="F8" s="282" t="s">
        <v>56</v>
      </c>
      <c r="G8" s="330" t="s">
        <v>158</v>
      </c>
      <c r="H8" s="329" t="s">
        <v>56</v>
      </c>
      <c r="I8" s="330" t="s">
        <v>158</v>
      </c>
      <c r="J8" s="329" t="s">
        <v>56</v>
      </c>
      <c r="K8" s="831"/>
      <c r="L8" s="831"/>
      <c r="M8" s="831"/>
      <c r="O8" s="853"/>
      <c r="P8" s="854"/>
      <c r="Q8" s="206"/>
    </row>
    <row r="9" spans="1:16" s="6" customFormat="1" ht="10.8" thickBot="1">
      <c r="A9" s="322" t="s">
        <v>1</v>
      </c>
      <c r="B9" s="322">
        <v>2</v>
      </c>
      <c r="C9" s="280" t="s">
        <v>2</v>
      </c>
      <c r="D9" s="319" t="s">
        <v>3</v>
      </c>
      <c r="E9" s="287" t="s">
        <v>14</v>
      </c>
      <c r="F9" s="319" t="s">
        <v>4</v>
      </c>
      <c r="G9" s="287" t="s">
        <v>5</v>
      </c>
      <c r="H9" s="319" t="s">
        <v>6</v>
      </c>
      <c r="I9" s="287" t="s">
        <v>7</v>
      </c>
      <c r="J9" s="319" t="s">
        <v>8</v>
      </c>
      <c r="K9" s="318" t="s">
        <v>9</v>
      </c>
      <c r="L9" s="274" t="s">
        <v>27</v>
      </c>
      <c r="M9" s="639" t="s">
        <v>25</v>
      </c>
      <c r="O9" s="275">
        <v>14</v>
      </c>
      <c r="P9" s="275" t="s">
        <v>26</v>
      </c>
    </row>
    <row r="10" spans="1:16" s="6" customFormat="1" ht="10.8" thickBot="1">
      <c r="A10" s="323"/>
      <c r="B10" s="323"/>
      <c r="C10" s="54"/>
      <c r="D10" s="286"/>
      <c r="E10" s="288"/>
      <c r="F10" s="54"/>
      <c r="G10" s="288"/>
      <c r="H10" s="54"/>
      <c r="I10" s="288"/>
      <c r="J10" s="54"/>
      <c r="K10" s="54"/>
      <c r="L10" s="54"/>
      <c r="M10" s="54"/>
      <c r="O10" s="640"/>
      <c r="P10" s="537"/>
    </row>
    <row r="11" spans="1:16" s="451" customFormat="1" ht="24.75" customHeight="1" thickBot="1">
      <c r="A11" s="641"/>
      <c r="B11" s="642"/>
      <c r="C11" s="643" t="s">
        <v>167</v>
      </c>
      <c r="D11" s="644"/>
      <c r="E11" s="645"/>
      <c r="F11" s="646"/>
      <c r="G11" s="647"/>
      <c r="H11" s="646"/>
      <c r="I11" s="644"/>
      <c r="J11" s="648"/>
      <c r="K11" s="649"/>
      <c r="L11" s="650"/>
      <c r="M11" s="651"/>
      <c r="O11" s="652"/>
      <c r="P11" s="653"/>
    </row>
    <row r="12" spans="1:16" s="454" customFormat="1" ht="10.2">
      <c r="A12" s="445">
        <v>1</v>
      </c>
      <c r="B12" s="324"/>
      <c r="C12" s="344" t="s">
        <v>159</v>
      </c>
      <c r="D12" s="238"/>
      <c r="E12" s="327"/>
      <c r="F12" s="325">
        <v>213.5</v>
      </c>
      <c r="G12" s="327"/>
      <c r="H12" s="339"/>
      <c r="I12" s="341">
        <f>P12/$K$4</f>
        <v>0</v>
      </c>
      <c r="J12" s="339">
        <f>F12*I12</f>
        <v>0</v>
      </c>
      <c r="K12" s="253">
        <f>H12+J12</f>
        <v>0</v>
      </c>
      <c r="L12" s="137">
        <f>SUM(K12:K16)</f>
        <v>0</v>
      </c>
      <c r="M12" s="137">
        <f>L12/F12</f>
        <v>0</v>
      </c>
      <c r="O12" s="654"/>
      <c r="P12" s="655"/>
    </row>
    <row r="13" spans="1:16" s="6" customFormat="1" ht="10.2">
      <c r="A13" s="91"/>
      <c r="B13" s="94"/>
      <c r="C13" s="310" t="s">
        <v>160</v>
      </c>
      <c r="D13" s="307" t="s">
        <v>75</v>
      </c>
      <c r="E13" s="369">
        <v>0.05</v>
      </c>
      <c r="F13" s="326">
        <f>E13*F12</f>
        <v>10.675</v>
      </c>
      <c r="G13" s="342">
        <f>O13/K4</f>
        <v>0</v>
      </c>
      <c r="H13" s="382">
        <f>G13*F13</f>
        <v>0</v>
      </c>
      <c r="I13" s="342"/>
      <c r="J13" s="326"/>
      <c r="K13" s="258">
        <f>H13+J13</f>
        <v>0</v>
      </c>
      <c r="L13" s="139"/>
      <c r="M13" s="139"/>
      <c r="O13" s="259"/>
      <c r="P13" s="263"/>
    </row>
    <row r="14" spans="1:16" s="451" customFormat="1" ht="10.2">
      <c r="A14" s="618"/>
      <c r="B14" s="93"/>
      <c r="C14" s="310" t="s">
        <v>188</v>
      </c>
      <c r="D14" s="260" t="s">
        <v>81</v>
      </c>
      <c r="E14" s="328">
        <v>1.05</v>
      </c>
      <c r="F14" s="516">
        <f>E14*F12</f>
        <v>224.175</v>
      </c>
      <c r="G14" s="342">
        <f>O14/$K$4</f>
        <v>0</v>
      </c>
      <c r="H14" s="517">
        <f>G14*F14</f>
        <v>0</v>
      </c>
      <c r="I14" s="656"/>
      <c r="J14" s="517"/>
      <c r="K14" s="258">
        <f>H14+J14</f>
        <v>0</v>
      </c>
      <c r="L14" s="138"/>
      <c r="M14" s="138"/>
      <c r="O14" s="453"/>
      <c r="P14" s="627"/>
    </row>
    <row r="15" spans="1:16" s="6" customFormat="1" ht="10.2">
      <c r="A15" s="619"/>
      <c r="B15" s="94"/>
      <c r="C15" s="310" t="s">
        <v>271</v>
      </c>
      <c r="D15" s="260" t="s">
        <v>142</v>
      </c>
      <c r="E15" s="305">
        <v>6</v>
      </c>
      <c r="F15" s="516">
        <f>F12*E15</f>
        <v>1281</v>
      </c>
      <c r="G15" s="342">
        <f>O15/$K$4</f>
        <v>0</v>
      </c>
      <c r="H15" s="517">
        <f aca="true" t="shared" si="0" ref="H15:H16">G15*F15</f>
        <v>0</v>
      </c>
      <c r="I15" s="317"/>
      <c r="J15" s="262"/>
      <c r="K15" s="258">
        <f>H15+J15</f>
        <v>0</v>
      </c>
      <c r="L15" s="139"/>
      <c r="M15" s="139"/>
      <c r="O15" s="259"/>
      <c r="P15" s="263"/>
    </row>
    <row r="16" spans="1:16" s="6" customFormat="1" ht="10.8" thickBot="1">
      <c r="A16" s="619"/>
      <c r="B16" s="94"/>
      <c r="C16" s="310" t="s">
        <v>33</v>
      </c>
      <c r="D16" s="260"/>
      <c r="E16" s="305">
        <v>1</v>
      </c>
      <c r="F16" s="516">
        <f>F12*E16</f>
        <v>213.5</v>
      </c>
      <c r="G16" s="342">
        <f>O16/$K$4</f>
        <v>0</v>
      </c>
      <c r="H16" s="517">
        <f t="shared" si="0"/>
        <v>0</v>
      </c>
      <c r="I16" s="317"/>
      <c r="J16" s="262"/>
      <c r="K16" s="258">
        <f>H16+J16</f>
        <v>0</v>
      </c>
      <c r="L16" s="140"/>
      <c r="M16" s="140"/>
      <c r="O16" s="259"/>
      <c r="P16" s="263"/>
    </row>
    <row r="17" spans="1:16" s="454" customFormat="1" ht="20.4">
      <c r="A17" s="445">
        <v>2</v>
      </c>
      <c r="B17" s="324"/>
      <c r="C17" s="344" t="s">
        <v>262</v>
      </c>
      <c r="D17" s="238"/>
      <c r="E17" s="327"/>
      <c r="F17" s="325">
        <f>213.5+485</f>
        <v>698.5</v>
      </c>
      <c r="G17" s="327"/>
      <c r="H17" s="339"/>
      <c r="I17" s="341">
        <f>P17/$K$4</f>
        <v>0</v>
      </c>
      <c r="J17" s="339">
        <f>F17*I17</f>
        <v>0</v>
      </c>
      <c r="K17" s="253">
        <f aca="true" t="shared" si="1" ref="K17:K21">H17+J17</f>
        <v>0</v>
      </c>
      <c r="L17" s="137">
        <f>SUM(K17:K21)</f>
        <v>0</v>
      </c>
      <c r="M17" s="137">
        <f>L17/F17</f>
        <v>0</v>
      </c>
      <c r="O17" s="654"/>
      <c r="P17" s="655"/>
    </row>
    <row r="18" spans="1:16" s="6" customFormat="1" ht="10.2">
      <c r="A18" s="91"/>
      <c r="B18" s="94"/>
      <c r="C18" s="310" t="s">
        <v>141</v>
      </c>
      <c r="D18" s="260" t="s">
        <v>142</v>
      </c>
      <c r="E18" s="305">
        <f>25/30</f>
        <v>0.8333333333333334</v>
      </c>
      <c r="F18" s="516">
        <f>$F$17*E18</f>
        <v>582.0833333333334</v>
      </c>
      <c r="G18" s="342">
        <f>O18/$K$4</f>
        <v>0</v>
      </c>
      <c r="H18" s="262">
        <f aca="true" t="shared" si="2" ref="H18:H22">F18*G18</f>
        <v>0</v>
      </c>
      <c r="I18" s="317"/>
      <c r="J18" s="262"/>
      <c r="K18" s="258">
        <f t="shared" si="1"/>
        <v>0</v>
      </c>
      <c r="L18" s="139"/>
      <c r="M18" s="139"/>
      <c r="O18" s="259"/>
      <c r="P18" s="263"/>
    </row>
    <row r="19" spans="1:16" s="6" customFormat="1" ht="10.2">
      <c r="A19" s="91"/>
      <c r="B19" s="94"/>
      <c r="C19" s="310" t="s">
        <v>144</v>
      </c>
      <c r="D19" s="307" t="s">
        <v>145</v>
      </c>
      <c r="E19" s="305">
        <f>18/100</f>
        <v>0.18</v>
      </c>
      <c r="F19" s="516">
        <f>$F$17*E19</f>
        <v>125.72999999999999</v>
      </c>
      <c r="G19" s="342">
        <f>O19/$K$4</f>
        <v>0</v>
      </c>
      <c r="H19" s="262">
        <f t="shared" si="2"/>
        <v>0</v>
      </c>
      <c r="I19" s="317"/>
      <c r="J19" s="262"/>
      <c r="K19" s="258">
        <f t="shared" si="1"/>
        <v>0</v>
      </c>
      <c r="L19" s="139"/>
      <c r="M19" s="139"/>
      <c r="O19" s="259"/>
      <c r="P19" s="263"/>
    </row>
    <row r="20" spans="1:16" s="6" customFormat="1" ht="10.2">
      <c r="A20" s="91"/>
      <c r="B20" s="94"/>
      <c r="C20" s="310" t="s">
        <v>146</v>
      </c>
      <c r="D20" s="307" t="s">
        <v>142</v>
      </c>
      <c r="E20" s="305">
        <v>0.5</v>
      </c>
      <c r="F20" s="516">
        <f>$F$17*E20</f>
        <v>349.25</v>
      </c>
      <c r="G20" s="342">
        <f>O20/$K$4</f>
        <v>0</v>
      </c>
      <c r="H20" s="262">
        <f t="shared" si="2"/>
        <v>0</v>
      </c>
      <c r="I20" s="317"/>
      <c r="J20" s="262"/>
      <c r="K20" s="258">
        <f t="shared" si="1"/>
        <v>0</v>
      </c>
      <c r="L20" s="139"/>
      <c r="M20" s="139"/>
      <c r="O20" s="259"/>
      <c r="P20" s="263"/>
    </row>
    <row r="21" spans="1:16" s="6" customFormat="1" ht="10.8" thickBot="1">
      <c r="A21" s="91"/>
      <c r="B21" s="94"/>
      <c r="C21" s="310" t="s">
        <v>33</v>
      </c>
      <c r="D21" s="307"/>
      <c r="E21" s="305">
        <v>1</v>
      </c>
      <c r="F21" s="516">
        <f>$F$17*E21</f>
        <v>698.5</v>
      </c>
      <c r="G21" s="342">
        <f>O21/$K$4</f>
        <v>0</v>
      </c>
      <c r="H21" s="262">
        <f t="shared" si="2"/>
        <v>0</v>
      </c>
      <c r="I21" s="317"/>
      <c r="J21" s="262"/>
      <c r="K21" s="258">
        <f t="shared" si="1"/>
        <v>0</v>
      </c>
      <c r="L21" s="139"/>
      <c r="M21" s="139"/>
      <c r="O21" s="259"/>
      <c r="P21" s="263"/>
    </row>
    <row r="22" spans="1:16" s="454" customFormat="1" ht="10.2">
      <c r="A22" s="445">
        <v>3</v>
      </c>
      <c r="B22" s="324"/>
      <c r="C22" s="344" t="s">
        <v>163</v>
      </c>
      <c r="D22" s="238"/>
      <c r="E22" s="327"/>
      <c r="F22" s="325">
        <v>113.2</v>
      </c>
      <c r="G22" s="327"/>
      <c r="H22" s="339">
        <f t="shared" si="2"/>
        <v>0</v>
      </c>
      <c r="I22" s="341">
        <f>P22/$K$4</f>
        <v>0</v>
      </c>
      <c r="J22" s="339">
        <f>F22*I22</f>
        <v>0</v>
      </c>
      <c r="K22" s="253">
        <f>H22+J22</f>
        <v>0</v>
      </c>
      <c r="L22" s="137">
        <f>SUM(K22:K25)</f>
        <v>0</v>
      </c>
      <c r="M22" s="137">
        <f>L22/F22</f>
        <v>0</v>
      </c>
      <c r="N22" s="6"/>
      <c r="O22" s="654"/>
      <c r="P22" s="655"/>
    </row>
    <row r="23" spans="1:16" s="451" customFormat="1" ht="10.2">
      <c r="A23" s="455"/>
      <c r="B23" s="93"/>
      <c r="C23" s="311" t="s">
        <v>164</v>
      </c>
      <c r="D23" s="260" t="s">
        <v>66</v>
      </c>
      <c r="E23" s="328">
        <v>1.05</v>
      </c>
      <c r="F23" s="516">
        <f>F22*E23</f>
        <v>118.86000000000001</v>
      </c>
      <c r="G23" s="342">
        <f>O23/K4</f>
        <v>0</v>
      </c>
      <c r="H23" s="517">
        <f>G23*F23</f>
        <v>0</v>
      </c>
      <c r="I23" s="656"/>
      <c r="J23" s="517"/>
      <c r="K23" s="258">
        <f>H23+J23</f>
        <v>0</v>
      </c>
      <c r="L23" s="138"/>
      <c r="M23" s="138"/>
      <c r="N23" s="454"/>
      <c r="O23" s="453"/>
      <c r="P23" s="627"/>
    </row>
    <row r="24" spans="1:16" s="451" customFormat="1" ht="10.2">
      <c r="A24" s="455"/>
      <c r="B24" s="93"/>
      <c r="C24" s="311" t="s">
        <v>165</v>
      </c>
      <c r="D24" s="260" t="s">
        <v>73</v>
      </c>
      <c r="E24" s="518">
        <v>2</v>
      </c>
      <c r="F24" s="519">
        <f>E24*F22</f>
        <v>226.4</v>
      </c>
      <c r="G24" s="342">
        <f>O24/$K$4</f>
        <v>0</v>
      </c>
      <c r="H24" s="517">
        <f>G24*F24</f>
        <v>0</v>
      </c>
      <c r="I24" s="656"/>
      <c r="J24" s="517"/>
      <c r="K24" s="258">
        <f>H24+J24</f>
        <v>0</v>
      </c>
      <c r="L24" s="138"/>
      <c r="M24" s="138"/>
      <c r="N24" s="6"/>
      <c r="O24" s="453"/>
      <c r="P24" s="627"/>
    </row>
    <row r="25" spans="1:16" s="451" customFormat="1" ht="10.8" thickBot="1">
      <c r="A25" s="447"/>
      <c r="B25" s="204"/>
      <c r="C25" s="657" t="s">
        <v>33</v>
      </c>
      <c r="D25" s="450"/>
      <c r="E25" s="443">
        <v>1</v>
      </c>
      <c r="F25" s="266">
        <f>$F$22*E25</f>
        <v>113.2</v>
      </c>
      <c r="G25" s="545">
        <f>O25/$K$4</f>
        <v>0</v>
      </c>
      <c r="H25" s="658">
        <f>G25*F25</f>
        <v>0</v>
      </c>
      <c r="I25" s="659"/>
      <c r="J25" s="658"/>
      <c r="K25" s="660">
        <f>H25+J25</f>
        <v>0</v>
      </c>
      <c r="L25" s="141"/>
      <c r="M25" s="141"/>
      <c r="N25" s="454"/>
      <c r="O25" s="536"/>
      <c r="P25" s="630"/>
    </row>
    <row r="26" spans="1:16" s="451" customFormat="1" ht="24.75" customHeight="1" thickBot="1">
      <c r="A26" s="641"/>
      <c r="B26" s="642"/>
      <c r="C26" s="643" t="s">
        <v>168</v>
      </c>
      <c r="D26" s="644"/>
      <c r="E26" s="645"/>
      <c r="F26" s="646"/>
      <c r="G26" s="647"/>
      <c r="H26" s="646"/>
      <c r="I26" s="644"/>
      <c r="J26" s="648"/>
      <c r="K26" s="649"/>
      <c r="L26" s="650"/>
      <c r="M26" s="651"/>
      <c r="N26" s="6"/>
      <c r="O26" s="652"/>
      <c r="P26" s="653"/>
    </row>
    <row r="27" spans="1:16" s="454" customFormat="1" ht="10.2">
      <c r="A27" s="445">
        <v>4</v>
      </c>
      <c r="B27" s="324"/>
      <c r="C27" s="344" t="s">
        <v>159</v>
      </c>
      <c r="D27" s="238"/>
      <c r="E27" s="327"/>
      <c r="F27" s="325">
        <f>27.3*3</f>
        <v>81.9</v>
      </c>
      <c r="G27" s="327"/>
      <c r="H27" s="339"/>
      <c r="I27" s="341">
        <f>P27/$K$4</f>
        <v>0</v>
      </c>
      <c r="J27" s="339">
        <f>F27*I27</f>
        <v>0</v>
      </c>
      <c r="K27" s="253">
        <f>H27+J27</f>
        <v>0</v>
      </c>
      <c r="L27" s="137">
        <f>SUM(K27:K31)</f>
        <v>0</v>
      </c>
      <c r="M27" s="137">
        <f>L27/F27</f>
        <v>0</v>
      </c>
      <c r="O27" s="654"/>
      <c r="P27" s="655"/>
    </row>
    <row r="28" spans="1:16" s="6" customFormat="1" ht="10.2">
      <c r="A28" s="91"/>
      <c r="B28" s="94"/>
      <c r="C28" s="310" t="s">
        <v>160</v>
      </c>
      <c r="D28" s="307" t="s">
        <v>75</v>
      </c>
      <c r="E28" s="369">
        <v>0.05</v>
      </c>
      <c r="F28" s="326">
        <f>E28*F27</f>
        <v>4.095000000000001</v>
      </c>
      <c r="G28" s="342">
        <f>O28/$K$4</f>
        <v>0</v>
      </c>
      <c r="H28" s="382">
        <f>G28*F28</f>
        <v>0</v>
      </c>
      <c r="I28" s="342"/>
      <c r="J28" s="326"/>
      <c r="K28" s="258">
        <f>H28+J28</f>
        <v>0</v>
      </c>
      <c r="L28" s="139"/>
      <c r="M28" s="139"/>
      <c r="O28" s="259"/>
      <c r="P28" s="263"/>
    </row>
    <row r="29" spans="1:16" s="451" customFormat="1" ht="10.2">
      <c r="A29" s="618"/>
      <c r="B29" s="93"/>
      <c r="C29" s="310" t="s">
        <v>188</v>
      </c>
      <c r="D29" s="260" t="s">
        <v>81</v>
      </c>
      <c r="E29" s="328">
        <v>1.05</v>
      </c>
      <c r="F29" s="516">
        <f>E29*F27</f>
        <v>85.995</v>
      </c>
      <c r="G29" s="342">
        <f>O29/$K$4</f>
        <v>0</v>
      </c>
      <c r="H29" s="517">
        <f>G29*F29</f>
        <v>0</v>
      </c>
      <c r="I29" s="656"/>
      <c r="J29" s="517"/>
      <c r="K29" s="258">
        <f>H29+J29</f>
        <v>0</v>
      </c>
      <c r="L29" s="138"/>
      <c r="M29" s="138"/>
      <c r="N29" s="454"/>
      <c r="O29" s="259"/>
      <c r="P29" s="627"/>
    </row>
    <row r="30" spans="1:16" s="6" customFormat="1" ht="10.2">
      <c r="A30" s="619"/>
      <c r="B30" s="94"/>
      <c r="C30" s="310" t="s">
        <v>271</v>
      </c>
      <c r="D30" s="260" t="s">
        <v>142</v>
      </c>
      <c r="E30" s="305">
        <v>6</v>
      </c>
      <c r="F30" s="516">
        <f>F27*E30</f>
        <v>491.40000000000003</v>
      </c>
      <c r="G30" s="342">
        <f>O30/$K$4</f>
        <v>0</v>
      </c>
      <c r="H30" s="517">
        <f aca="true" t="shared" si="3" ref="H30:H31">G30*F30</f>
        <v>0</v>
      </c>
      <c r="I30" s="317"/>
      <c r="J30" s="262"/>
      <c r="K30" s="258">
        <f>H30+J30</f>
        <v>0</v>
      </c>
      <c r="L30" s="139"/>
      <c r="M30" s="139"/>
      <c r="O30" s="259"/>
      <c r="P30" s="263"/>
    </row>
    <row r="31" spans="1:16" s="6" customFormat="1" ht="10.8" thickBot="1">
      <c r="A31" s="619"/>
      <c r="B31" s="94"/>
      <c r="C31" s="310" t="s">
        <v>33</v>
      </c>
      <c r="D31" s="260"/>
      <c r="E31" s="305">
        <v>1</v>
      </c>
      <c r="F31" s="516">
        <f>F27*E31</f>
        <v>81.9</v>
      </c>
      <c r="G31" s="342">
        <f>O31/$K$4</f>
        <v>0</v>
      </c>
      <c r="H31" s="517">
        <f t="shared" si="3"/>
        <v>0</v>
      </c>
      <c r="I31" s="317"/>
      <c r="J31" s="262"/>
      <c r="K31" s="258">
        <f>H31+J31</f>
        <v>0</v>
      </c>
      <c r="L31" s="140"/>
      <c r="M31" s="140"/>
      <c r="N31" s="454"/>
      <c r="O31" s="259"/>
      <c r="P31" s="263"/>
    </row>
    <row r="32" spans="1:16" s="454" customFormat="1" ht="20.4">
      <c r="A32" s="445">
        <v>5</v>
      </c>
      <c r="B32" s="324"/>
      <c r="C32" s="344" t="s">
        <v>262</v>
      </c>
      <c r="D32" s="238"/>
      <c r="E32" s="327"/>
      <c r="F32" s="325">
        <f>22.3*14.5+F27-8</f>
        <v>397.25</v>
      </c>
      <c r="G32" s="327"/>
      <c r="H32" s="339"/>
      <c r="I32" s="341">
        <f>P32/$K$4</f>
        <v>0</v>
      </c>
      <c r="J32" s="339">
        <f>F32*I32</f>
        <v>0</v>
      </c>
      <c r="K32" s="253">
        <f aca="true" t="shared" si="4" ref="K32:K36">H32+J32</f>
        <v>0</v>
      </c>
      <c r="L32" s="137">
        <f>SUM(K32:K36)</f>
        <v>0</v>
      </c>
      <c r="M32" s="137">
        <f>L32/F32</f>
        <v>0</v>
      </c>
      <c r="N32" s="6"/>
      <c r="O32" s="654"/>
      <c r="P32" s="655"/>
    </row>
    <row r="33" spans="1:16" s="6" customFormat="1" ht="10.2">
      <c r="A33" s="91"/>
      <c r="B33" s="94"/>
      <c r="C33" s="310" t="s">
        <v>141</v>
      </c>
      <c r="D33" s="260" t="s">
        <v>142</v>
      </c>
      <c r="E33" s="305">
        <f>25/30</f>
        <v>0.8333333333333334</v>
      </c>
      <c r="F33" s="516">
        <f>E33*F32</f>
        <v>331.0416666666667</v>
      </c>
      <c r="G33" s="342">
        <f>O33/$K$4</f>
        <v>0</v>
      </c>
      <c r="H33" s="262">
        <f aca="true" t="shared" si="5" ref="H33:H36">F33*G33</f>
        <v>0</v>
      </c>
      <c r="I33" s="317"/>
      <c r="J33" s="262"/>
      <c r="K33" s="258">
        <f t="shared" si="4"/>
        <v>0</v>
      </c>
      <c r="L33" s="139"/>
      <c r="M33" s="139"/>
      <c r="N33" s="454"/>
      <c r="O33" s="259"/>
      <c r="P33" s="263"/>
    </row>
    <row r="34" spans="1:16" s="6" customFormat="1" ht="10.2">
      <c r="A34" s="91"/>
      <c r="B34" s="94"/>
      <c r="C34" s="310" t="s">
        <v>144</v>
      </c>
      <c r="D34" s="307" t="s">
        <v>145</v>
      </c>
      <c r="E34" s="305">
        <f>18/100</f>
        <v>0.18</v>
      </c>
      <c r="F34" s="516">
        <f>E34*F32</f>
        <v>71.505</v>
      </c>
      <c r="G34" s="342">
        <f>O34/$K$4</f>
        <v>0</v>
      </c>
      <c r="H34" s="262">
        <f t="shared" si="5"/>
        <v>0</v>
      </c>
      <c r="I34" s="317"/>
      <c r="J34" s="262"/>
      <c r="K34" s="258">
        <f t="shared" si="4"/>
        <v>0</v>
      </c>
      <c r="L34" s="139"/>
      <c r="M34" s="139"/>
      <c r="O34" s="259"/>
      <c r="P34" s="263"/>
    </row>
    <row r="35" spans="1:16" s="6" customFormat="1" ht="10.2">
      <c r="A35" s="91"/>
      <c r="B35" s="94"/>
      <c r="C35" s="310" t="s">
        <v>146</v>
      </c>
      <c r="D35" s="307" t="s">
        <v>142</v>
      </c>
      <c r="E35" s="305">
        <v>0.5</v>
      </c>
      <c r="F35" s="516">
        <f>E35*F32</f>
        <v>198.625</v>
      </c>
      <c r="G35" s="342">
        <f>O35/$K$4</f>
        <v>0</v>
      </c>
      <c r="H35" s="262">
        <f t="shared" si="5"/>
        <v>0</v>
      </c>
      <c r="I35" s="317"/>
      <c r="J35" s="262"/>
      <c r="K35" s="258">
        <f t="shared" si="4"/>
        <v>0</v>
      </c>
      <c r="L35" s="139"/>
      <c r="M35" s="139"/>
      <c r="N35" s="454"/>
      <c r="O35" s="259"/>
      <c r="P35" s="263"/>
    </row>
    <row r="36" spans="1:16" s="6" customFormat="1" ht="10.8" thickBot="1">
      <c r="A36" s="91"/>
      <c r="B36" s="94"/>
      <c r="C36" s="310" t="s">
        <v>33</v>
      </c>
      <c r="D36" s="307"/>
      <c r="E36" s="305">
        <v>1</v>
      </c>
      <c r="F36" s="516">
        <f>E36*F32</f>
        <v>397.25</v>
      </c>
      <c r="G36" s="342">
        <f>O36/$K$4</f>
        <v>0</v>
      </c>
      <c r="H36" s="262">
        <f t="shared" si="5"/>
        <v>0</v>
      </c>
      <c r="I36" s="317"/>
      <c r="J36" s="262"/>
      <c r="K36" s="258">
        <f t="shared" si="4"/>
        <v>0</v>
      </c>
      <c r="L36" s="139"/>
      <c r="M36" s="139"/>
      <c r="O36" s="259"/>
      <c r="P36" s="263"/>
    </row>
    <row r="37" spans="1:16" s="454" customFormat="1" ht="10.2">
      <c r="A37" s="445">
        <v>6</v>
      </c>
      <c r="B37" s="324"/>
      <c r="C37" s="344" t="s">
        <v>163</v>
      </c>
      <c r="D37" s="238"/>
      <c r="E37" s="327"/>
      <c r="F37" s="325">
        <v>31</v>
      </c>
      <c r="G37" s="327"/>
      <c r="H37" s="339">
        <f aca="true" t="shared" si="6" ref="H37">F37*G37</f>
        <v>0</v>
      </c>
      <c r="I37" s="341">
        <f>P37/$K$4</f>
        <v>0</v>
      </c>
      <c r="J37" s="339">
        <f>F37*I37</f>
        <v>0</v>
      </c>
      <c r="K37" s="253">
        <f>H37+J37</f>
        <v>0</v>
      </c>
      <c r="L37" s="137">
        <f>SUM(K37:K40)</f>
        <v>0</v>
      </c>
      <c r="M37" s="137">
        <f>L37/F37</f>
        <v>0</v>
      </c>
      <c r="N37" s="6"/>
      <c r="O37" s="654"/>
      <c r="P37" s="655"/>
    </row>
    <row r="38" spans="1:16" s="451" customFormat="1" ht="10.2">
      <c r="A38" s="455"/>
      <c r="B38" s="93"/>
      <c r="C38" s="311" t="s">
        <v>164</v>
      </c>
      <c r="D38" s="260" t="s">
        <v>66</v>
      </c>
      <c r="E38" s="328">
        <v>1.05</v>
      </c>
      <c r="F38" s="516">
        <f>F37*E38</f>
        <v>32.550000000000004</v>
      </c>
      <c r="G38" s="342">
        <f>O38/$K$4</f>
        <v>0</v>
      </c>
      <c r="H38" s="517">
        <f>G38*F38</f>
        <v>0</v>
      </c>
      <c r="I38" s="656"/>
      <c r="J38" s="517"/>
      <c r="K38" s="258">
        <f>H38+J38</f>
        <v>0</v>
      </c>
      <c r="L38" s="138"/>
      <c r="M38" s="138"/>
      <c r="N38" s="454"/>
      <c r="O38" s="453"/>
      <c r="P38" s="627"/>
    </row>
    <row r="39" spans="1:16" s="451" customFormat="1" ht="10.2">
      <c r="A39" s="455"/>
      <c r="B39" s="93"/>
      <c r="C39" s="311" t="s">
        <v>165</v>
      </c>
      <c r="D39" s="260" t="s">
        <v>73</v>
      </c>
      <c r="E39" s="518">
        <v>2</v>
      </c>
      <c r="F39" s="519">
        <f>E39*F37</f>
        <v>62</v>
      </c>
      <c r="G39" s="342">
        <f>O39/$K$4</f>
        <v>0</v>
      </c>
      <c r="H39" s="517">
        <f>G39*F39</f>
        <v>0</v>
      </c>
      <c r="I39" s="656"/>
      <c r="J39" s="517"/>
      <c r="K39" s="258">
        <f>H39+J39</f>
        <v>0</v>
      </c>
      <c r="L39" s="138"/>
      <c r="M39" s="138"/>
      <c r="N39" s="6"/>
      <c r="O39" s="453"/>
      <c r="P39" s="627"/>
    </row>
    <row r="40" spans="1:16" s="451" customFormat="1" ht="10.8" thickBot="1">
      <c r="A40" s="447"/>
      <c r="B40" s="204"/>
      <c r="C40" s="657" t="s">
        <v>33</v>
      </c>
      <c r="D40" s="450"/>
      <c r="E40" s="443">
        <v>1</v>
      </c>
      <c r="F40" s="266">
        <f>E40*F37</f>
        <v>31</v>
      </c>
      <c r="G40" s="545">
        <f>O40/$K$4</f>
        <v>0</v>
      </c>
      <c r="H40" s="658">
        <f>G40*F40</f>
        <v>0</v>
      </c>
      <c r="I40" s="659"/>
      <c r="J40" s="658"/>
      <c r="K40" s="660">
        <f>H40+J40</f>
        <v>0</v>
      </c>
      <c r="L40" s="141"/>
      <c r="M40" s="141"/>
      <c r="N40" s="454"/>
      <c r="O40" s="453"/>
      <c r="P40" s="630"/>
    </row>
    <row r="41" spans="1:16" s="451" customFormat="1" ht="24.75" customHeight="1" thickBot="1">
      <c r="A41" s="641"/>
      <c r="B41" s="642"/>
      <c r="C41" s="643" t="s">
        <v>169</v>
      </c>
      <c r="D41" s="644"/>
      <c r="E41" s="645"/>
      <c r="F41" s="646"/>
      <c r="G41" s="647"/>
      <c r="H41" s="646"/>
      <c r="I41" s="644"/>
      <c r="J41" s="648"/>
      <c r="K41" s="649"/>
      <c r="L41" s="650"/>
      <c r="M41" s="651"/>
      <c r="N41" s="6"/>
      <c r="O41" s="652"/>
      <c r="P41" s="653"/>
    </row>
    <row r="42" spans="1:16" s="454" customFormat="1" ht="10.2">
      <c r="A42" s="445">
        <v>7</v>
      </c>
      <c r="B42" s="324"/>
      <c r="C42" s="344" t="s">
        <v>159</v>
      </c>
      <c r="D42" s="238"/>
      <c r="E42" s="327"/>
      <c r="F42" s="325">
        <f>27.3*4</f>
        <v>109.2</v>
      </c>
      <c r="G42" s="327"/>
      <c r="H42" s="339"/>
      <c r="I42" s="341">
        <f>P42/$K$4</f>
        <v>0</v>
      </c>
      <c r="J42" s="339">
        <f>F42*I42</f>
        <v>0</v>
      </c>
      <c r="K42" s="253">
        <f>H42+J42</f>
        <v>0</v>
      </c>
      <c r="L42" s="137">
        <f>SUM(K42:K46)</f>
        <v>0</v>
      </c>
      <c r="M42" s="137">
        <f>L42/F42</f>
        <v>0</v>
      </c>
      <c r="O42" s="654"/>
      <c r="P42" s="655"/>
    </row>
    <row r="43" spans="1:16" s="6" customFormat="1" ht="10.2">
      <c r="A43" s="91"/>
      <c r="B43" s="94"/>
      <c r="C43" s="310" t="s">
        <v>160</v>
      </c>
      <c r="D43" s="307" t="s">
        <v>75</v>
      </c>
      <c r="E43" s="369">
        <v>0.05</v>
      </c>
      <c r="F43" s="326">
        <f>E43*F42</f>
        <v>5.460000000000001</v>
      </c>
      <c r="G43" s="342">
        <f>O43/$K$4</f>
        <v>0</v>
      </c>
      <c r="H43" s="382">
        <f>G43*F43</f>
        <v>0</v>
      </c>
      <c r="I43" s="342"/>
      <c r="J43" s="326"/>
      <c r="K43" s="258">
        <f>H43+J43</f>
        <v>0</v>
      </c>
      <c r="L43" s="139"/>
      <c r="M43" s="139"/>
      <c r="O43" s="259"/>
      <c r="P43" s="263"/>
    </row>
    <row r="44" spans="1:16" s="451" customFormat="1" ht="10.2">
      <c r="A44" s="618"/>
      <c r="B44" s="93"/>
      <c r="C44" s="310" t="s">
        <v>188</v>
      </c>
      <c r="D44" s="260" t="s">
        <v>81</v>
      </c>
      <c r="E44" s="328">
        <v>1.05</v>
      </c>
      <c r="F44" s="516">
        <f>E44*F42</f>
        <v>114.66000000000001</v>
      </c>
      <c r="G44" s="342">
        <f>O44/$K$4</f>
        <v>0</v>
      </c>
      <c r="H44" s="517">
        <f>G44*F44</f>
        <v>0</v>
      </c>
      <c r="I44" s="656"/>
      <c r="J44" s="517"/>
      <c r="K44" s="258">
        <f>H44+J44</f>
        <v>0</v>
      </c>
      <c r="L44" s="138"/>
      <c r="M44" s="138"/>
      <c r="N44" s="454"/>
      <c r="O44" s="259"/>
      <c r="P44" s="627"/>
    </row>
    <row r="45" spans="1:16" s="6" customFormat="1" ht="10.2">
      <c r="A45" s="619"/>
      <c r="B45" s="94"/>
      <c r="C45" s="310" t="s">
        <v>271</v>
      </c>
      <c r="D45" s="260" t="s">
        <v>142</v>
      </c>
      <c r="E45" s="305">
        <v>6</v>
      </c>
      <c r="F45" s="516">
        <f>F42*E45</f>
        <v>655.2</v>
      </c>
      <c r="G45" s="342">
        <f>O45/$K$4</f>
        <v>0</v>
      </c>
      <c r="H45" s="517">
        <f aca="true" t="shared" si="7" ref="H45:H46">G45*F45</f>
        <v>0</v>
      </c>
      <c r="I45" s="317"/>
      <c r="J45" s="262"/>
      <c r="K45" s="258">
        <f>H45+J45</f>
        <v>0</v>
      </c>
      <c r="L45" s="139"/>
      <c r="M45" s="139"/>
      <c r="O45" s="259"/>
      <c r="P45" s="263"/>
    </row>
    <row r="46" spans="1:16" s="6" customFormat="1" ht="10.8" thickBot="1">
      <c r="A46" s="619"/>
      <c r="B46" s="94"/>
      <c r="C46" s="310" t="s">
        <v>33</v>
      </c>
      <c r="D46" s="260"/>
      <c r="E46" s="305">
        <v>1</v>
      </c>
      <c r="F46" s="516">
        <f>F42*E46</f>
        <v>109.2</v>
      </c>
      <c r="G46" s="342">
        <f>O46/$K$4</f>
        <v>0</v>
      </c>
      <c r="H46" s="517">
        <f t="shared" si="7"/>
        <v>0</v>
      </c>
      <c r="I46" s="317"/>
      <c r="J46" s="262"/>
      <c r="K46" s="258">
        <f>H46+J46</f>
        <v>0</v>
      </c>
      <c r="L46" s="140"/>
      <c r="M46" s="140"/>
      <c r="N46" s="454"/>
      <c r="O46" s="259"/>
      <c r="P46" s="263"/>
    </row>
    <row r="47" spans="1:16" s="454" customFormat="1" ht="20.4">
      <c r="A47" s="445">
        <v>8</v>
      </c>
      <c r="B47" s="324"/>
      <c r="C47" s="344" t="s">
        <v>162</v>
      </c>
      <c r="D47" s="238"/>
      <c r="E47" s="327"/>
      <c r="F47" s="325">
        <f>22.3*14.5+F42-8</f>
        <v>424.55</v>
      </c>
      <c r="G47" s="327"/>
      <c r="H47" s="339"/>
      <c r="I47" s="341">
        <f>P47/$K$4</f>
        <v>0</v>
      </c>
      <c r="J47" s="339">
        <f>F47*I47</f>
        <v>0</v>
      </c>
      <c r="K47" s="253">
        <f aca="true" t="shared" si="8" ref="K47:K51">H47+J47</f>
        <v>0</v>
      </c>
      <c r="L47" s="137">
        <f>SUM(K47:K51)</f>
        <v>0</v>
      </c>
      <c r="M47" s="137">
        <f>L47/F47</f>
        <v>0</v>
      </c>
      <c r="N47" s="6"/>
      <c r="O47" s="654"/>
      <c r="P47" s="655"/>
    </row>
    <row r="48" spans="1:16" s="6" customFormat="1" ht="10.2">
      <c r="A48" s="91"/>
      <c r="B48" s="94"/>
      <c r="C48" s="310" t="s">
        <v>141</v>
      </c>
      <c r="D48" s="260" t="s">
        <v>142</v>
      </c>
      <c r="E48" s="305">
        <f>25/30</f>
        <v>0.8333333333333334</v>
      </c>
      <c r="F48" s="516">
        <f>E48*F47</f>
        <v>353.7916666666667</v>
      </c>
      <c r="G48" s="342">
        <f>O48/$K$4</f>
        <v>0</v>
      </c>
      <c r="H48" s="262">
        <f aca="true" t="shared" si="9" ref="H48:H51">F48*G48</f>
        <v>0</v>
      </c>
      <c r="I48" s="317"/>
      <c r="J48" s="262"/>
      <c r="K48" s="258">
        <f t="shared" si="8"/>
        <v>0</v>
      </c>
      <c r="L48" s="139"/>
      <c r="M48" s="139"/>
      <c r="N48" s="454"/>
      <c r="O48" s="259"/>
      <c r="P48" s="263"/>
    </row>
    <row r="49" spans="1:16" s="6" customFormat="1" ht="10.2">
      <c r="A49" s="91"/>
      <c r="B49" s="94"/>
      <c r="C49" s="310" t="s">
        <v>144</v>
      </c>
      <c r="D49" s="307" t="s">
        <v>145</v>
      </c>
      <c r="E49" s="305">
        <f>18/100</f>
        <v>0.18</v>
      </c>
      <c r="F49" s="516">
        <f>E49*F47</f>
        <v>76.419</v>
      </c>
      <c r="G49" s="342">
        <f>O49/$K$4</f>
        <v>0</v>
      </c>
      <c r="H49" s="262">
        <f t="shared" si="9"/>
        <v>0</v>
      </c>
      <c r="I49" s="317"/>
      <c r="J49" s="262"/>
      <c r="K49" s="258">
        <f t="shared" si="8"/>
        <v>0</v>
      </c>
      <c r="L49" s="139"/>
      <c r="M49" s="139"/>
      <c r="O49" s="259"/>
      <c r="P49" s="263"/>
    </row>
    <row r="50" spans="1:16" s="6" customFormat="1" ht="10.2">
      <c r="A50" s="91"/>
      <c r="B50" s="94"/>
      <c r="C50" s="310" t="s">
        <v>146</v>
      </c>
      <c r="D50" s="307" t="s">
        <v>142</v>
      </c>
      <c r="E50" s="305">
        <v>0.5</v>
      </c>
      <c r="F50" s="516">
        <f>E50*F47</f>
        <v>212.275</v>
      </c>
      <c r="G50" s="342">
        <f>O50/$K$4</f>
        <v>0</v>
      </c>
      <c r="H50" s="262">
        <f t="shared" si="9"/>
        <v>0</v>
      </c>
      <c r="I50" s="317"/>
      <c r="J50" s="262"/>
      <c r="K50" s="258">
        <f t="shared" si="8"/>
        <v>0</v>
      </c>
      <c r="L50" s="139"/>
      <c r="M50" s="139"/>
      <c r="O50" s="259"/>
      <c r="P50" s="263"/>
    </row>
    <row r="51" spans="1:16" s="6" customFormat="1" ht="10.8" thickBot="1">
      <c r="A51" s="91"/>
      <c r="B51" s="94"/>
      <c r="C51" s="310" t="s">
        <v>33</v>
      </c>
      <c r="D51" s="307"/>
      <c r="E51" s="305">
        <v>1</v>
      </c>
      <c r="F51" s="516">
        <f>E51*F47</f>
        <v>424.55</v>
      </c>
      <c r="G51" s="342">
        <f>O51/$K$4</f>
        <v>0</v>
      </c>
      <c r="H51" s="262">
        <f t="shared" si="9"/>
        <v>0</v>
      </c>
      <c r="I51" s="317"/>
      <c r="J51" s="262"/>
      <c r="K51" s="258">
        <f t="shared" si="8"/>
        <v>0</v>
      </c>
      <c r="L51" s="139"/>
      <c r="M51" s="139"/>
      <c r="O51" s="259"/>
      <c r="P51" s="263"/>
    </row>
    <row r="52" spans="1:16" s="454" customFormat="1" ht="10.2">
      <c r="A52" s="445">
        <v>9</v>
      </c>
      <c r="B52" s="324"/>
      <c r="C52" s="344" t="s">
        <v>163</v>
      </c>
      <c r="D52" s="238"/>
      <c r="E52" s="327"/>
      <c r="F52" s="325">
        <v>68</v>
      </c>
      <c r="G52" s="327"/>
      <c r="H52" s="339">
        <f aca="true" t="shared" si="10" ref="H52">F52*G52</f>
        <v>0</v>
      </c>
      <c r="I52" s="341">
        <f>P52/$K$4</f>
        <v>0</v>
      </c>
      <c r="J52" s="339">
        <f>F52*I52</f>
        <v>0</v>
      </c>
      <c r="K52" s="253">
        <f>H52+J52</f>
        <v>0</v>
      </c>
      <c r="L52" s="137">
        <f>SUM(K52:K55)</f>
        <v>0</v>
      </c>
      <c r="M52" s="137">
        <f>L52/F52</f>
        <v>0</v>
      </c>
      <c r="N52" s="6"/>
      <c r="O52" s="654"/>
      <c r="P52" s="655"/>
    </row>
    <row r="53" spans="1:16" s="451" customFormat="1" ht="10.2">
      <c r="A53" s="455"/>
      <c r="B53" s="93"/>
      <c r="C53" s="311" t="s">
        <v>164</v>
      </c>
      <c r="D53" s="260" t="s">
        <v>66</v>
      </c>
      <c r="E53" s="328">
        <v>1.05</v>
      </c>
      <c r="F53" s="516">
        <f>F52*E53</f>
        <v>71.4</v>
      </c>
      <c r="G53" s="342">
        <f>O53/$K$4</f>
        <v>0</v>
      </c>
      <c r="H53" s="517">
        <f>G53*F53</f>
        <v>0</v>
      </c>
      <c r="I53" s="656"/>
      <c r="J53" s="517"/>
      <c r="K53" s="258">
        <f>H53+J53</f>
        <v>0</v>
      </c>
      <c r="L53" s="138"/>
      <c r="M53" s="138"/>
      <c r="N53" s="6"/>
      <c r="O53" s="453"/>
      <c r="P53" s="627"/>
    </row>
    <row r="54" spans="1:16" s="451" customFormat="1" ht="10.2">
      <c r="A54" s="455"/>
      <c r="B54" s="93"/>
      <c r="C54" s="311" t="s">
        <v>165</v>
      </c>
      <c r="D54" s="260" t="s">
        <v>73</v>
      </c>
      <c r="E54" s="518">
        <v>2</v>
      </c>
      <c r="F54" s="519">
        <f>E54*F52</f>
        <v>136</v>
      </c>
      <c r="G54" s="342">
        <f>O54/$K$4</f>
        <v>0</v>
      </c>
      <c r="H54" s="517">
        <f>G54*F54</f>
        <v>0</v>
      </c>
      <c r="I54" s="656"/>
      <c r="J54" s="517"/>
      <c r="K54" s="258">
        <f>H54+J54</f>
        <v>0</v>
      </c>
      <c r="L54" s="138"/>
      <c r="M54" s="138"/>
      <c r="N54" s="6"/>
      <c r="O54" s="453"/>
      <c r="P54" s="627"/>
    </row>
    <row r="55" spans="1:16" s="451" customFormat="1" ht="10.8" thickBot="1">
      <c r="A55" s="447"/>
      <c r="B55" s="204"/>
      <c r="C55" s="657" t="s">
        <v>33</v>
      </c>
      <c r="D55" s="450"/>
      <c r="E55" s="443">
        <v>1</v>
      </c>
      <c r="F55" s="266">
        <f>E55*F52</f>
        <v>68</v>
      </c>
      <c r="G55" s="545">
        <f>O55/$K$4</f>
        <v>0</v>
      </c>
      <c r="H55" s="658">
        <f>G55*F55</f>
        <v>0</v>
      </c>
      <c r="I55" s="659"/>
      <c r="J55" s="658"/>
      <c r="K55" s="660">
        <f>H55+J55</f>
        <v>0</v>
      </c>
      <c r="L55" s="141"/>
      <c r="M55" s="141"/>
      <c r="N55" s="6"/>
      <c r="O55" s="267"/>
      <c r="P55" s="630"/>
    </row>
    <row r="56" spans="1:16" s="451" customFormat="1" ht="24.75" customHeight="1" thickBot="1">
      <c r="A56" s="641"/>
      <c r="B56" s="642"/>
      <c r="C56" s="643" t="s">
        <v>263</v>
      </c>
      <c r="D56" s="644"/>
      <c r="E56" s="645"/>
      <c r="F56" s="646"/>
      <c r="G56" s="647"/>
      <c r="H56" s="646"/>
      <c r="I56" s="644"/>
      <c r="J56" s="648"/>
      <c r="K56" s="649"/>
      <c r="L56" s="650"/>
      <c r="M56" s="651"/>
      <c r="N56" s="6"/>
      <c r="O56" s="652"/>
      <c r="P56" s="653"/>
    </row>
    <row r="57" spans="1:16" s="454" customFormat="1" ht="10.2">
      <c r="A57" s="445">
        <v>10</v>
      </c>
      <c r="B57" s="324"/>
      <c r="C57" s="344" t="s">
        <v>159</v>
      </c>
      <c r="D57" s="238"/>
      <c r="E57" s="327"/>
      <c r="F57" s="325">
        <f>F42</f>
        <v>109.2</v>
      </c>
      <c r="G57" s="327"/>
      <c r="H57" s="339"/>
      <c r="I57" s="341">
        <f>P57/$K$4</f>
        <v>0</v>
      </c>
      <c r="J57" s="339">
        <f>F57*I57</f>
        <v>0</v>
      </c>
      <c r="K57" s="253">
        <f>H57+J57</f>
        <v>0</v>
      </c>
      <c r="L57" s="137">
        <f>SUM(K57:K61)</f>
        <v>0</v>
      </c>
      <c r="M57" s="137">
        <f>L57/F57</f>
        <v>0</v>
      </c>
      <c r="O57" s="654"/>
      <c r="P57" s="655"/>
    </row>
    <row r="58" spans="1:16" s="6" customFormat="1" ht="10.2">
      <c r="A58" s="91"/>
      <c r="B58" s="94"/>
      <c r="C58" s="310" t="s">
        <v>160</v>
      </c>
      <c r="D58" s="307" t="s">
        <v>75</v>
      </c>
      <c r="E58" s="369">
        <v>0.05</v>
      </c>
      <c r="F58" s="326">
        <f>E58*F57</f>
        <v>5.460000000000001</v>
      </c>
      <c r="G58" s="342">
        <f>O58/$K$4</f>
        <v>0</v>
      </c>
      <c r="H58" s="382">
        <f>G58*F58</f>
        <v>0</v>
      </c>
      <c r="I58" s="342"/>
      <c r="J58" s="326"/>
      <c r="K58" s="258">
        <f>H58+J58</f>
        <v>0</v>
      </c>
      <c r="L58" s="139"/>
      <c r="M58" s="139"/>
      <c r="O58" s="259"/>
      <c r="P58" s="263"/>
    </row>
    <row r="59" spans="1:16" s="451" customFormat="1" ht="10.2">
      <c r="A59" s="618"/>
      <c r="B59" s="93"/>
      <c r="C59" s="310" t="s">
        <v>188</v>
      </c>
      <c r="D59" s="260" t="s">
        <v>81</v>
      </c>
      <c r="E59" s="328">
        <v>1.05</v>
      </c>
      <c r="F59" s="516">
        <f>E59*F57</f>
        <v>114.66000000000001</v>
      </c>
      <c r="G59" s="342">
        <f>O59/$K$4</f>
        <v>0</v>
      </c>
      <c r="H59" s="517">
        <f>G59*F59</f>
        <v>0</v>
      </c>
      <c r="I59" s="656"/>
      <c r="J59" s="517"/>
      <c r="K59" s="258">
        <f>H59+J59</f>
        <v>0</v>
      </c>
      <c r="L59" s="138"/>
      <c r="M59" s="138"/>
      <c r="N59" s="454"/>
      <c r="O59" s="259"/>
      <c r="P59" s="790"/>
    </row>
    <row r="60" spans="1:16" s="6" customFormat="1" ht="10.2">
      <c r="A60" s="619"/>
      <c r="B60" s="94"/>
      <c r="C60" s="310" t="s">
        <v>271</v>
      </c>
      <c r="D60" s="260" t="s">
        <v>142</v>
      </c>
      <c r="E60" s="305">
        <v>6</v>
      </c>
      <c r="F60" s="516">
        <f>F57*E60</f>
        <v>655.2</v>
      </c>
      <c r="G60" s="342">
        <f>O60/$K$4</f>
        <v>0</v>
      </c>
      <c r="H60" s="517">
        <f aca="true" t="shared" si="11" ref="H60:H61">G60*F60</f>
        <v>0</v>
      </c>
      <c r="I60" s="317"/>
      <c r="J60" s="262"/>
      <c r="K60" s="258">
        <f>H60+J60</f>
        <v>0</v>
      </c>
      <c r="L60" s="139"/>
      <c r="M60" s="139"/>
      <c r="O60" s="259"/>
      <c r="P60" s="263"/>
    </row>
    <row r="61" spans="1:16" s="6" customFormat="1" ht="10.8" thickBot="1">
      <c r="A61" s="619"/>
      <c r="B61" s="94"/>
      <c r="C61" s="310" t="s">
        <v>33</v>
      </c>
      <c r="D61" s="260"/>
      <c r="E61" s="305">
        <v>1</v>
      </c>
      <c r="F61" s="516">
        <f>F57*E61</f>
        <v>109.2</v>
      </c>
      <c r="G61" s="342">
        <f>O61/$K$4</f>
        <v>0</v>
      </c>
      <c r="H61" s="517">
        <f t="shared" si="11"/>
        <v>0</v>
      </c>
      <c r="I61" s="317"/>
      <c r="J61" s="262"/>
      <c r="K61" s="258">
        <f>H61+J61</f>
        <v>0</v>
      </c>
      <c r="L61" s="140"/>
      <c r="M61" s="140"/>
      <c r="N61" s="454"/>
      <c r="O61" s="259"/>
      <c r="P61" s="263"/>
    </row>
    <row r="62" spans="1:16" s="454" customFormat="1" ht="20.4">
      <c r="A62" s="445">
        <v>11</v>
      </c>
      <c r="B62" s="324"/>
      <c r="C62" s="344" t="s">
        <v>162</v>
      </c>
      <c r="D62" s="238"/>
      <c r="E62" s="327"/>
      <c r="F62" s="325">
        <f>22.3*14.5+F57-8</f>
        <v>424.55</v>
      </c>
      <c r="G62" s="327"/>
      <c r="H62" s="339"/>
      <c r="I62" s="341">
        <f>P62/$K$4</f>
        <v>0</v>
      </c>
      <c r="J62" s="339">
        <f>F62*I62</f>
        <v>0</v>
      </c>
      <c r="K62" s="253">
        <f aca="true" t="shared" si="12" ref="K62:K66">H62+J62</f>
        <v>0</v>
      </c>
      <c r="L62" s="137">
        <f>SUM(K62:K66)</f>
        <v>0</v>
      </c>
      <c r="M62" s="137">
        <f>L62/F62</f>
        <v>0</v>
      </c>
      <c r="N62" s="6"/>
      <c r="O62" s="654"/>
      <c r="P62" s="655"/>
    </row>
    <row r="63" spans="1:16" s="6" customFormat="1" ht="10.2">
      <c r="A63" s="91"/>
      <c r="B63" s="94"/>
      <c r="C63" s="310" t="s">
        <v>141</v>
      </c>
      <c r="D63" s="260" t="s">
        <v>142</v>
      </c>
      <c r="E63" s="305">
        <f>25/30</f>
        <v>0.8333333333333334</v>
      </c>
      <c r="F63" s="516">
        <f>E63*F62</f>
        <v>353.7916666666667</v>
      </c>
      <c r="G63" s="342">
        <f>O63/$K$4</f>
        <v>0</v>
      </c>
      <c r="H63" s="262">
        <f aca="true" t="shared" si="13" ref="H63:H67">F63*G63</f>
        <v>0</v>
      </c>
      <c r="I63" s="317"/>
      <c r="J63" s="262"/>
      <c r="K63" s="258">
        <f t="shared" si="12"/>
        <v>0</v>
      </c>
      <c r="L63" s="139"/>
      <c r="M63" s="139"/>
      <c r="O63" s="259"/>
      <c r="P63" s="263"/>
    </row>
    <row r="64" spans="1:16" s="6" customFormat="1" ht="10.2">
      <c r="A64" s="91"/>
      <c r="B64" s="94"/>
      <c r="C64" s="310" t="s">
        <v>144</v>
      </c>
      <c r="D64" s="307" t="s">
        <v>145</v>
      </c>
      <c r="E64" s="305">
        <f>18/100</f>
        <v>0.18</v>
      </c>
      <c r="F64" s="516">
        <f>E64*F62</f>
        <v>76.419</v>
      </c>
      <c r="G64" s="342">
        <f>O64/$K$4</f>
        <v>0</v>
      </c>
      <c r="H64" s="262">
        <f t="shared" si="13"/>
        <v>0</v>
      </c>
      <c r="I64" s="317"/>
      <c r="J64" s="262"/>
      <c r="K64" s="258">
        <f t="shared" si="12"/>
        <v>0</v>
      </c>
      <c r="L64" s="139"/>
      <c r="M64" s="139"/>
      <c r="O64" s="259"/>
      <c r="P64" s="263"/>
    </row>
    <row r="65" spans="1:16" s="6" customFormat="1" ht="10.2">
      <c r="A65" s="91"/>
      <c r="B65" s="94"/>
      <c r="C65" s="310" t="s">
        <v>146</v>
      </c>
      <c r="D65" s="307" t="s">
        <v>142</v>
      </c>
      <c r="E65" s="305">
        <v>0.5</v>
      </c>
      <c r="F65" s="516">
        <f>E65*F62</f>
        <v>212.275</v>
      </c>
      <c r="G65" s="342">
        <f>O65/$K$4</f>
        <v>0</v>
      </c>
      <c r="H65" s="262">
        <f t="shared" si="13"/>
        <v>0</v>
      </c>
      <c r="I65" s="317"/>
      <c r="J65" s="262"/>
      <c r="K65" s="258">
        <f t="shared" si="12"/>
        <v>0</v>
      </c>
      <c r="L65" s="139"/>
      <c r="M65" s="139"/>
      <c r="O65" s="259"/>
      <c r="P65" s="263"/>
    </row>
    <row r="66" spans="1:16" s="6" customFormat="1" ht="10.8" thickBot="1">
      <c r="A66" s="91"/>
      <c r="B66" s="94"/>
      <c r="C66" s="310" t="s">
        <v>33</v>
      </c>
      <c r="D66" s="307"/>
      <c r="E66" s="305">
        <v>1</v>
      </c>
      <c r="F66" s="516">
        <f>E66*F62</f>
        <v>424.55</v>
      </c>
      <c r="G66" s="342">
        <f>O66/$K$4</f>
        <v>0</v>
      </c>
      <c r="H66" s="262">
        <f t="shared" si="13"/>
        <v>0</v>
      </c>
      <c r="I66" s="317"/>
      <c r="J66" s="262"/>
      <c r="K66" s="258">
        <f t="shared" si="12"/>
        <v>0</v>
      </c>
      <c r="L66" s="139"/>
      <c r="M66" s="139"/>
      <c r="O66" s="259"/>
      <c r="P66" s="263"/>
    </row>
    <row r="67" spans="1:16" s="454" customFormat="1" ht="10.2">
      <c r="A67" s="445">
        <v>12</v>
      </c>
      <c r="B67" s="324"/>
      <c r="C67" s="344" t="s">
        <v>163</v>
      </c>
      <c r="D67" s="238"/>
      <c r="E67" s="327"/>
      <c r="F67" s="325">
        <v>68</v>
      </c>
      <c r="G67" s="327"/>
      <c r="H67" s="339">
        <f t="shared" si="13"/>
        <v>0</v>
      </c>
      <c r="I67" s="341">
        <f>P67/$K$4</f>
        <v>0</v>
      </c>
      <c r="J67" s="339">
        <f>F67*I67</f>
        <v>0</v>
      </c>
      <c r="K67" s="253">
        <f>H67+J67</f>
        <v>0</v>
      </c>
      <c r="L67" s="137">
        <f>SUM(K67:K70)</f>
        <v>0</v>
      </c>
      <c r="M67" s="137">
        <f>L67/F67</f>
        <v>0</v>
      </c>
      <c r="N67" s="6"/>
      <c r="O67" s="654"/>
      <c r="P67" s="655"/>
    </row>
    <row r="68" spans="1:16" s="451" customFormat="1" ht="10.2">
      <c r="A68" s="455"/>
      <c r="B68" s="93"/>
      <c r="C68" s="311" t="s">
        <v>164</v>
      </c>
      <c r="D68" s="260" t="s">
        <v>66</v>
      </c>
      <c r="E68" s="328">
        <v>1.05</v>
      </c>
      <c r="F68" s="516">
        <f>F67*E68</f>
        <v>71.4</v>
      </c>
      <c r="G68" s="342">
        <f>O68/$K$4</f>
        <v>0</v>
      </c>
      <c r="H68" s="517">
        <f>G68*F68</f>
        <v>0</v>
      </c>
      <c r="I68" s="656"/>
      <c r="J68" s="517"/>
      <c r="K68" s="258">
        <f>H68+J68</f>
        <v>0</v>
      </c>
      <c r="L68" s="138"/>
      <c r="M68" s="138"/>
      <c r="N68" s="6"/>
      <c r="O68" s="453"/>
      <c r="P68" s="790"/>
    </row>
    <row r="69" spans="1:16" s="451" customFormat="1" ht="10.2">
      <c r="A69" s="455"/>
      <c r="B69" s="93"/>
      <c r="C69" s="311" t="s">
        <v>165</v>
      </c>
      <c r="D69" s="260" t="s">
        <v>73</v>
      </c>
      <c r="E69" s="518">
        <v>2</v>
      </c>
      <c r="F69" s="519">
        <f>E69*F67</f>
        <v>136</v>
      </c>
      <c r="G69" s="342">
        <f>O69/$K$4</f>
        <v>0</v>
      </c>
      <c r="H69" s="517">
        <f>G69*F69</f>
        <v>0</v>
      </c>
      <c r="I69" s="656"/>
      <c r="J69" s="517"/>
      <c r="K69" s="258">
        <f>H69+J69</f>
        <v>0</v>
      </c>
      <c r="L69" s="138"/>
      <c r="M69" s="138"/>
      <c r="N69" s="6"/>
      <c r="O69" s="453"/>
      <c r="P69" s="790"/>
    </row>
    <row r="70" spans="1:16" s="451" customFormat="1" ht="10.8" thickBot="1">
      <c r="A70" s="447"/>
      <c r="B70" s="204"/>
      <c r="C70" s="657" t="s">
        <v>33</v>
      </c>
      <c r="D70" s="450"/>
      <c r="E70" s="443">
        <v>1</v>
      </c>
      <c r="F70" s="266">
        <f>E70*F67</f>
        <v>68</v>
      </c>
      <c r="G70" s="545">
        <f>O70/$K$4</f>
        <v>0</v>
      </c>
      <c r="H70" s="658">
        <f>G70*F70</f>
        <v>0</v>
      </c>
      <c r="I70" s="659"/>
      <c r="J70" s="658"/>
      <c r="K70" s="660">
        <f>H70+J70</f>
        <v>0</v>
      </c>
      <c r="L70" s="141"/>
      <c r="M70" s="141"/>
      <c r="N70" s="6"/>
      <c r="O70" s="267"/>
      <c r="P70" s="791"/>
    </row>
    <row r="71" spans="1:16" s="451" customFormat="1" ht="24.75" customHeight="1" thickBot="1">
      <c r="A71" s="641"/>
      <c r="B71" s="642"/>
      <c r="C71" s="643" t="s">
        <v>269</v>
      </c>
      <c r="D71" s="644"/>
      <c r="E71" s="645"/>
      <c r="F71" s="646"/>
      <c r="G71" s="647"/>
      <c r="H71" s="646"/>
      <c r="I71" s="644"/>
      <c r="J71" s="648"/>
      <c r="K71" s="649"/>
      <c r="L71" s="650"/>
      <c r="M71" s="651"/>
      <c r="N71" s="6"/>
      <c r="O71" s="652"/>
      <c r="P71" s="653"/>
    </row>
    <row r="72" spans="1:16" s="454" customFormat="1" ht="10.2">
      <c r="A72" s="445">
        <v>13</v>
      </c>
      <c r="B72" s="324"/>
      <c r="C72" s="344" t="s">
        <v>159</v>
      </c>
      <c r="D72" s="238"/>
      <c r="E72" s="327"/>
      <c r="F72" s="325">
        <f>F27</f>
        <v>81.9</v>
      </c>
      <c r="G72" s="327"/>
      <c r="H72" s="339"/>
      <c r="I72" s="341">
        <f>P72/$K$4</f>
        <v>0</v>
      </c>
      <c r="J72" s="339">
        <f>F72*I72</f>
        <v>0</v>
      </c>
      <c r="K72" s="253">
        <f>H72+J72</f>
        <v>0</v>
      </c>
      <c r="L72" s="137">
        <f>SUM(K72:K76)</f>
        <v>0</v>
      </c>
      <c r="M72" s="137">
        <f>L72/F72</f>
        <v>0</v>
      </c>
      <c r="N72" s="6"/>
      <c r="O72" s="654"/>
      <c r="P72" s="655"/>
    </row>
    <row r="73" spans="1:16" s="6" customFormat="1" ht="10.2">
      <c r="A73" s="91"/>
      <c r="B73" s="94"/>
      <c r="C73" s="310" t="s">
        <v>160</v>
      </c>
      <c r="D73" s="307" t="s">
        <v>75</v>
      </c>
      <c r="E73" s="369">
        <v>0.05</v>
      </c>
      <c r="F73" s="326">
        <f>E73*F72</f>
        <v>4.095000000000001</v>
      </c>
      <c r="G73" s="342">
        <f>O73/$K$4</f>
        <v>0</v>
      </c>
      <c r="H73" s="382">
        <f>G73*F73</f>
        <v>0</v>
      </c>
      <c r="I73" s="342"/>
      <c r="J73" s="326"/>
      <c r="K73" s="258">
        <f>H73+J73</f>
        <v>0</v>
      </c>
      <c r="L73" s="139"/>
      <c r="M73" s="139"/>
      <c r="O73" s="259"/>
      <c r="P73" s="263"/>
    </row>
    <row r="74" spans="1:16" s="451" customFormat="1" ht="10.2">
      <c r="A74" s="618"/>
      <c r="B74" s="93"/>
      <c r="C74" s="310" t="s">
        <v>188</v>
      </c>
      <c r="D74" s="260" t="s">
        <v>81</v>
      </c>
      <c r="E74" s="328">
        <v>1.05</v>
      </c>
      <c r="F74" s="516">
        <f>E74*F72</f>
        <v>85.995</v>
      </c>
      <c r="G74" s="342">
        <f>O74/$K$4</f>
        <v>0</v>
      </c>
      <c r="H74" s="517">
        <f>G74*F74</f>
        <v>0</v>
      </c>
      <c r="I74" s="656"/>
      <c r="J74" s="517"/>
      <c r="K74" s="258">
        <f>H74+J74</f>
        <v>0</v>
      </c>
      <c r="L74" s="138"/>
      <c r="M74" s="138"/>
      <c r="N74" s="6"/>
      <c r="O74" s="259"/>
      <c r="P74" s="790"/>
    </row>
    <row r="75" spans="1:16" s="6" customFormat="1" ht="10.2">
      <c r="A75" s="619"/>
      <c r="B75" s="94"/>
      <c r="C75" s="310" t="s">
        <v>271</v>
      </c>
      <c r="D75" s="260" t="s">
        <v>142</v>
      </c>
      <c r="E75" s="305">
        <v>6</v>
      </c>
      <c r="F75" s="516">
        <f>F72*E75</f>
        <v>491.40000000000003</v>
      </c>
      <c r="G75" s="342">
        <f>O75/$K$4</f>
        <v>0</v>
      </c>
      <c r="H75" s="517">
        <f aca="true" t="shared" si="14" ref="H75:H76">G75*F75</f>
        <v>0</v>
      </c>
      <c r="I75" s="317"/>
      <c r="J75" s="262"/>
      <c r="K75" s="258">
        <f>H75+J75</f>
        <v>0</v>
      </c>
      <c r="L75" s="139"/>
      <c r="M75" s="139"/>
      <c r="O75" s="259"/>
      <c r="P75" s="263"/>
    </row>
    <row r="76" spans="1:16" s="6" customFormat="1" ht="10.8" thickBot="1">
      <c r="A76" s="619"/>
      <c r="B76" s="94"/>
      <c r="C76" s="310" t="s">
        <v>33</v>
      </c>
      <c r="D76" s="260"/>
      <c r="E76" s="305">
        <v>1</v>
      </c>
      <c r="F76" s="516">
        <f>F72*E76</f>
        <v>81.9</v>
      </c>
      <c r="G76" s="342">
        <f>O76/$K$4</f>
        <v>0</v>
      </c>
      <c r="H76" s="517">
        <f t="shared" si="14"/>
        <v>0</v>
      </c>
      <c r="I76" s="317"/>
      <c r="J76" s="262"/>
      <c r="K76" s="258">
        <f>H76+J76</f>
        <v>0</v>
      </c>
      <c r="L76" s="140"/>
      <c r="M76" s="140"/>
      <c r="O76" s="259"/>
      <c r="P76" s="263"/>
    </row>
    <row r="77" spans="1:16" s="454" customFormat="1" ht="20.4">
      <c r="A77" s="445">
        <v>14</v>
      </c>
      <c r="B77" s="324"/>
      <c r="C77" s="344" t="s">
        <v>162</v>
      </c>
      <c r="D77" s="238"/>
      <c r="E77" s="327"/>
      <c r="F77" s="325">
        <f>22.3*14.5+F72-8</f>
        <v>397.25</v>
      </c>
      <c r="G77" s="327"/>
      <c r="H77" s="339"/>
      <c r="I77" s="341">
        <f>P77/$K$4</f>
        <v>0</v>
      </c>
      <c r="J77" s="339">
        <f>F77*I77</f>
        <v>0</v>
      </c>
      <c r="K77" s="253">
        <f aca="true" t="shared" si="15" ref="K77:K81">H77+J77</f>
        <v>0</v>
      </c>
      <c r="L77" s="137">
        <f>SUM(K77:K81)</f>
        <v>0</v>
      </c>
      <c r="M77" s="137">
        <f>L77/F77</f>
        <v>0</v>
      </c>
      <c r="N77" s="6"/>
      <c r="O77" s="654"/>
      <c r="P77" s="655"/>
    </row>
    <row r="78" spans="1:16" s="6" customFormat="1" ht="10.2">
      <c r="A78" s="91"/>
      <c r="B78" s="94"/>
      <c r="C78" s="310" t="s">
        <v>141</v>
      </c>
      <c r="D78" s="260" t="s">
        <v>142</v>
      </c>
      <c r="E78" s="305">
        <f>25/30</f>
        <v>0.8333333333333334</v>
      </c>
      <c r="F78" s="516">
        <f>E78*F77</f>
        <v>331.0416666666667</v>
      </c>
      <c r="G78" s="342">
        <f>O78/$K$4</f>
        <v>0</v>
      </c>
      <c r="H78" s="262">
        <f aca="true" t="shared" si="16" ref="H78:H82">F78*G78</f>
        <v>0</v>
      </c>
      <c r="I78" s="317"/>
      <c r="J78" s="262"/>
      <c r="K78" s="258">
        <f t="shared" si="15"/>
        <v>0</v>
      </c>
      <c r="L78" s="139"/>
      <c r="M78" s="139"/>
      <c r="O78" s="259"/>
      <c r="P78" s="263"/>
    </row>
    <row r="79" spans="1:16" s="6" customFormat="1" ht="10.2">
      <c r="A79" s="91"/>
      <c r="B79" s="94"/>
      <c r="C79" s="310" t="s">
        <v>144</v>
      </c>
      <c r="D79" s="307" t="s">
        <v>145</v>
      </c>
      <c r="E79" s="305">
        <f>18/100</f>
        <v>0.18</v>
      </c>
      <c r="F79" s="516">
        <f>E79*F77</f>
        <v>71.505</v>
      </c>
      <c r="G79" s="342">
        <f>O79/$K$4</f>
        <v>0</v>
      </c>
      <c r="H79" s="262">
        <f t="shared" si="16"/>
        <v>0</v>
      </c>
      <c r="I79" s="317"/>
      <c r="J79" s="262"/>
      <c r="K79" s="258">
        <f t="shared" si="15"/>
        <v>0</v>
      </c>
      <c r="L79" s="139"/>
      <c r="M79" s="139"/>
      <c r="O79" s="259"/>
      <c r="P79" s="263"/>
    </row>
    <row r="80" spans="1:16" s="6" customFormat="1" ht="10.2">
      <c r="A80" s="91"/>
      <c r="B80" s="94"/>
      <c r="C80" s="310" t="s">
        <v>146</v>
      </c>
      <c r="D80" s="307" t="s">
        <v>142</v>
      </c>
      <c r="E80" s="305">
        <v>0.5</v>
      </c>
      <c r="F80" s="516">
        <f>E80*F77</f>
        <v>198.625</v>
      </c>
      <c r="G80" s="342">
        <f>O80/$K$4</f>
        <v>0</v>
      </c>
      <c r="H80" s="262">
        <f t="shared" si="16"/>
        <v>0</v>
      </c>
      <c r="I80" s="317"/>
      <c r="J80" s="262"/>
      <c r="K80" s="258">
        <f t="shared" si="15"/>
        <v>0</v>
      </c>
      <c r="L80" s="139"/>
      <c r="M80" s="139"/>
      <c r="O80" s="259"/>
      <c r="P80" s="263"/>
    </row>
    <row r="81" spans="1:16" s="6" customFormat="1" ht="10.8" thickBot="1">
      <c r="A81" s="91"/>
      <c r="B81" s="94"/>
      <c r="C81" s="310" t="s">
        <v>33</v>
      </c>
      <c r="D81" s="307"/>
      <c r="E81" s="305">
        <v>1</v>
      </c>
      <c r="F81" s="516">
        <f>E81*F77</f>
        <v>397.25</v>
      </c>
      <c r="G81" s="342">
        <f>O81/$K$4</f>
        <v>0</v>
      </c>
      <c r="H81" s="262">
        <f t="shared" si="16"/>
        <v>0</v>
      </c>
      <c r="I81" s="317"/>
      <c r="J81" s="262"/>
      <c r="K81" s="258">
        <f t="shared" si="15"/>
        <v>0</v>
      </c>
      <c r="L81" s="139"/>
      <c r="M81" s="139"/>
      <c r="O81" s="259"/>
      <c r="P81" s="263"/>
    </row>
    <row r="82" spans="1:16" s="454" customFormat="1" ht="10.2">
      <c r="A82" s="445">
        <v>15</v>
      </c>
      <c r="B82" s="324"/>
      <c r="C82" s="344" t="s">
        <v>163</v>
      </c>
      <c r="D82" s="238"/>
      <c r="E82" s="327"/>
      <c r="F82" s="325">
        <v>52.6</v>
      </c>
      <c r="G82" s="327"/>
      <c r="H82" s="339">
        <f t="shared" si="16"/>
        <v>0</v>
      </c>
      <c r="I82" s="341">
        <f>P82/$K$4</f>
        <v>0</v>
      </c>
      <c r="J82" s="339">
        <f>F82*I82</f>
        <v>0</v>
      </c>
      <c r="K82" s="253">
        <f>H82+J82</f>
        <v>0</v>
      </c>
      <c r="L82" s="137">
        <f>SUM(K82:K85)</f>
        <v>0</v>
      </c>
      <c r="M82" s="137">
        <f>L82/F82</f>
        <v>0</v>
      </c>
      <c r="N82" s="6"/>
      <c r="O82" s="654"/>
      <c r="P82" s="655"/>
    </row>
    <row r="83" spans="1:16" s="451" customFormat="1" ht="10.2">
      <c r="A83" s="455"/>
      <c r="B83" s="93"/>
      <c r="C83" s="311" t="s">
        <v>164</v>
      </c>
      <c r="D83" s="260" t="s">
        <v>66</v>
      </c>
      <c r="E83" s="328">
        <v>1.05</v>
      </c>
      <c r="F83" s="516">
        <f>F82*E83</f>
        <v>55.230000000000004</v>
      </c>
      <c r="G83" s="342">
        <f>O83/$K$4</f>
        <v>0</v>
      </c>
      <c r="H83" s="517">
        <f>G83*F83</f>
        <v>0</v>
      </c>
      <c r="I83" s="656"/>
      <c r="J83" s="517"/>
      <c r="K83" s="258">
        <f>H83+J83</f>
        <v>0</v>
      </c>
      <c r="L83" s="138"/>
      <c r="M83" s="138"/>
      <c r="N83" s="6"/>
      <c r="O83" s="453"/>
      <c r="P83" s="790"/>
    </row>
    <row r="84" spans="1:16" s="451" customFormat="1" ht="10.2">
      <c r="A84" s="455"/>
      <c r="B84" s="93"/>
      <c r="C84" s="311" t="s">
        <v>165</v>
      </c>
      <c r="D84" s="260" t="s">
        <v>73</v>
      </c>
      <c r="E84" s="518">
        <v>2</v>
      </c>
      <c r="F84" s="519">
        <f>E84*F82</f>
        <v>105.2</v>
      </c>
      <c r="G84" s="342">
        <f>O84/$K$4</f>
        <v>0</v>
      </c>
      <c r="H84" s="517">
        <f>G84*F84</f>
        <v>0</v>
      </c>
      <c r="I84" s="656"/>
      <c r="J84" s="517"/>
      <c r="K84" s="258">
        <f>H84+J84</f>
        <v>0</v>
      </c>
      <c r="L84" s="138"/>
      <c r="M84" s="138"/>
      <c r="N84" s="6"/>
      <c r="O84" s="453"/>
      <c r="P84" s="790"/>
    </row>
    <row r="85" spans="1:16" s="451" customFormat="1" ht="10.8" thickBot="1">
      <c r="A85" s="447"/>
      <c r="B85" s="204"/>
      <c r="C85" s="657" t="s">
        <v>33</v>
      </c>
      <c r="D85" s="450"/>
      <c r="E85" s="443">
        <v>1</v>
      </c>
      <c r="F85" s="266">
        <f>E85*F82</f>
        <v>52.6</v>
      </c>
      <c r="G85" s="545">
        <f>O85/$K$4</f>
        <v>0</v>
      </c>
      <c r="H85" s="658">
        <f>G85*F85</f>
        <v>0</v>
      </c>
      <c r="I85" s="659"/>
      <c r="J85" s="658"/>
      <c r="K85" s="660">
        <f>H85+J85</f>
        <v>0</v>
      </c>
      <c r="L85" s="141"/>
      <c r="M85" s="141"/>
      <c r="N85" s="6"/>
      <c r="O85" s="267"/>
      <c r="P85" s="791"/>
    </row>
    <row r="86" spans="1:16" s="451" customFormat="1" ht="24.75" customHeight="1" thickBot="1">
      <c r="A86" s="641"/>
      <c r="B86" s="642"/>
      <c r="C86" s="643" t="s">
        <v>270</v>
      </c>
      <c r="D86" s="644"/>
      <c r="E86" s="645"/>
      <c r="F86" s="646"/>
      <c r="G86" s="647"/>
      <c r="H86" s="646"/>
      <c r="I86" s="644"/>
      <c r="J86" s="648"/>
      <c r="K86" s="649"/>
      <c r="L86" s="650"/>
      <c r="M86" s="651"/>
      <c r="N86" s="6"/>
      <c r="O86" s="652"/>
      <c r="P86" s="653"/>
    </row>
    <row r="87" spans="1:16" s="454" customFormat="1" ht="10.2">
      <c r="A87" s="445">
        <v>16</v>
      </c>
      <c r="B87" s="324"/>
      <c r="C87" s="344" t="s">
        <v>159</v>
      </c>
      <c r="D87" s="238"/>
      <c r="E87" s="327"/>
      <c r="F87" s="325">
        <f>25.3*21</f>
        <v>531.3000000000001</v>
      </c>
      <c r="G87" s="327"/>
      <c r="H87" s="339"/>
      <c r="I87" s="341">
        <f>P87/$K$4</f>
        <v>0</v>
      </c>
      <c r="J87" s="339">
        <f>F87*I87</f>
        <v>0</v>
      </c>
      <c r="K87" s="253">
        <f>H87+J87</f>
        <v>0</v>
      </c>
      <c r="L87" s="137">
        <f>SUM(K87:K91)</f>
        <v>0</v>
      </c>
      <c r="M87" s="137">
        <f>L87/F87</f>
        <v>0</v>
      </c>
      <c r="N87" s="6"/>
      <c r="O87" s="654"/>
      <c r="P87" s="655"/>
    </row>
    <row r="88" spans="1:16" s="6" customFormat="1" ht="10.2">
      <c r="A88" s="91"/>
      <c r="B88" s="94"/>
      <c r="C88" s="310" t="s">
        <v>160</v>
      </c>
      <c r="D88" s="307" t="s">
        <v>75</v>
      </c>
      <c r="E88" s="369">
        <v>0.05</v>
      </c>
      <c r="F88" s="326">
        <f>E88*F87</f>
        <v>26.565000000000005</v>
      </c>
      <c r="G88" s="342">
        <f>O88/$K$4</f>
        <v>0</v>
      </c>
      <c r="H88" s="382">
        <f>G88*F88</f>
        <v>0</v>
      </c>
      <c r="I88" s="342"/>
      <c r="J88" s="326"/>
      <c r="K88" s="258">
        <f>H88+J88</f>
        <v>0</v>
      </c>
      <c r="L88" s="139"/>
      <c r="M88" s="139"/>
      <c r="O88" s="259"/>
      <c r="P88" s="263"/>
    </row>
    <row r="89" spans="1:16" s="451" customFormat="1" ht="10.2">
      <c r="A89" s="618"/>
      <c r="B89" s="93"/>
      <c r="C89" s="310" t="s">
        <v>188</v>
      </c>
      <c r="D89" s="260" t="s">
        <v>81</v>
      </c>
      <c r="E89" s="328">
        <v>1.05</v>
      </c>
      <c r="F89" s="516">
        <f>E89*F87</f>
        <v>557.8650000000001</v>
      </c>
      <c r="G89" s="342">
        <f>O89/$K$4</f>
        <v>0</v>
      </c>
      <c r="H89" s="517">
        <f>G89*F89</f>
        <v>0</v>
      </c>
      <c r="I89" s="656"/>
      <c r="J89" s="517"/>
      <c r="K89" s="258">
        <f>H89+J89</f>
        <v>0</v>
      </c>
      <c r="L89" s="138"/>
      <c r="M89" s="138"/>
      <c r="N89" s="6"/>
      <c r="O89" s="259"/>
      <c r="P89" s="790"/>
    </row>
    <row r="90" spans="1:16" s="6" customFormat="1" ht="10.2">
      <c r="A90" s="619"/>
      <c r="B90" s="94"/>
      <c r="C90" s="310" t="s">
        <v>271</v>
      </c>
      <c r="D90" s="260" t="s">
        <v>142</v>
      </c>
      <c r="E90" s="305">
        <v>6</v>
      </c>
      <c r="F90" s="516">
        <f>F87*E90</f>
        <v>3187.8</v>
      </c>
      <c r="G90" s="342">
        <f>O90/$K$4</f>
        <v>0</v>
      </c>
      <c r="H90" s="517">
        <f aca="true" t="shared" si="17" ref="H90:H91">G90*F90</f>
        <v>0</v>
      </c>
      <c r="I90" s="317"/>
      <c r="J90" s="262"/>
      <c r="K90" s="258">
        <f>H90+J90</f>
        <v>0</v>
      </c>
      <c r="L90" s="139"/>
      <c r="M90" s="139"/>
      <c r="O90" s="259"/>
      <c r="P90" s="263"/>
    </row>
    <row r="91" spans="1:16" s="6" customFormat="1" ht="10.8" thickBot="1">
      <c r="A91" s="619"/>
      <c r="B91" s="94"/>
      <c r="C91" s="310" t="s">
        <v>33</v>
      </c>
      <c r="D91" s="260"/>
      <c r="E91" s="305">
        <v>1</v>
      </c>
      <c r="F91" s="516">
        <f>F87*E91</f>
        <v>531.3000000000001</v>
      </c>
      <c r="G91" s="342">
        <f>O91/$K$4</f>
        <v>0</v>
      </c>
      <c r="H91" s="517">
        <f t="shared" si="17"/>
        <v>0</v>
      </c>
      <c r="I91" s="317"/>
      <c r="J91" s="262"/>
      <c r="K91" s="258">
        <f>H91+J91</f>
        <v>0</v>
      </c>
      <c r="L91" s="140"/>
      <c r="M91" s="140"/>
      <c r="O91" s="259"/>
      <c r="P91" s="263"/>
    </row>
    <row r="92" spans="1:16" s="454" customFormat="1" ht="20.4">
      <c r="A92" s="445">
        <v>17</v>
      </c>
      <c r="B92" s="324"/>
      <c r="C92" s="344" t="s">
        <v>162</v>
      </c>
      <c r="D92" s="238"/>
      <c r="E92" s="327"/>
      <c r="F92" s="325">
        <v>2125</v>
      </c>
      <c r="G92" s="327"/>
      <c r="H92" s="339"/>
      <c r="I92" s="341">
        <f>P92/$K$4</f>
        <v>0</v>
      </c>
      <c r="J92" s="339">
        <f>F92*I92</f>
        <v>0</v>
      </c>
      <c r="K92" s="253">
        <f aca="true" t="shared" si="18" ref="K92:K96">H92+J92</f>
        <v>0</v>
      </c>
      <c r="L92" s="137">
        <f>SUM(K92:K96)</f>
        <v>0</v>
      </c>
      <c r="M92" s="137">
        <f>L92/F92</f>
        <v>0</v>
      </c>
      <c r="N92" s="6"/>
      <c r="O92" s="654"/>
      <c r="P92" s="655"/>
    </row>
    <row r="93" spans="1:16" s="6" customFormat="1" ht="10.2">
      <c r="A93" s="91"/>
      <c r="B93" s="94"/>
      <c r="C93" s="310" t="s">
        <v>141</v>
      </c>
      <c r="D93" s="260" t="s">
        <v>142</v>
      </c>
      <c r="E93" s="305">
        <f>25/30</f>
        <v>0.8333333333333334</v>
      </c>
      <c r="F93" s="516">
        <f>E93*F92</f>
        <v>1770.8333333333335</v>
      </c>
      <c r="G93" s="342">
        <f>O93/$K$4</f>
        <v>0</v>
      </c>
      <c r="H93" s="262">
        <f aca="true" t="shared" si="19" ref="H93:H97">F93*G93</f>
        <v>0</v>
      </c>
      <c r="I93" s="317"/>
      <c r="J93" s="262"/>
      <c r="K93" s="258">
        <f t="shared" si="18"/>
        <v>0</v>
      </c>
      <c r="L93" s="139"/>
      <c r="M93" s="139"/>
      <c r="O93" s="259"/>
      <c r="P93" s="263"/>
    </row>
    <row r="94" spans="1:16" s="6" customFormat="1" ht="10.2">
      <c r="A94" s="91"/>
      <c r="B94" s="94"/>
      <c r="C94" s="310" t="s">
        <v>144</v>
      </c>
      <c r="D94" s="307" t="s">
        <v>145</v>
      </c>
      <c r="E94" s="305">
        <f>18/100</f>
        <v>0.18</v>
      </c>
      <c r="F94" s="516">
        <f>E94*F92</f>
        <v>382.5</v>
      </c>
      <c r="G94" s="342">
        <f>O94/$K$4</f>
        <v>0</v>
      </c>
      <c r="H94" s="262">
        <f t="shared" si="19"/>
        <v>0</v>
      </c>
      <c r="I94" s="317"/>
      <c r="J94" s="262"/>
      <c r="K94" s="258">
        <f t="shared" si="18"/>
        <v>0</v>
      </c>
      <c r="L94" s="139"/>
      <c r="M94" s="139"/>
      <c r="O94" s="259"/>
      <c r="P94" s="263"/>
    </row>
    <row r="95" spans="1:16" s="6" customFormat="1" ht="10.2">
      <c r="A95" s="91"/>
      <c r="B95" s="94"/>
      <c r="C95" s="310" t="s">
        <v>146</v>
      </c>
      <c r="D95" s="307" t="s">
        <v>142</v>
      </c>
      <c r="E95" s="305">
        <v>0.5</v>
      </c>
      <c r="F95" s="516">
        <f>E95*F92</f>
        <v>1062.5</v>
      </c>
      <c r="G95" s="342">
        <f>O95/$K$4</f>
        <v>0</v>
      </c>
      <c r="H95" s="262">
        <f t="shared" si="19"/>
        <v>0</v>
      </c>
      <c r="I95" s="317"/>
      <c r="J95" s="262"/>
      <c r="K95" s="258">
        <f t="shared" si="18"/>
        <v>0</v>
      </c>
      <c r="L95" s="139"/>
      <c r="M95" s="139"/>
      <c r="O95" s="259"/>
      <c r="P95" s="263"/>
    </row>
    <row r="96" spans="1:16" s="6" customFormat="1" ht="10.8" thickBot="1">
      <c r="A96" s="91"/>
      <c r="B96" s="94"/>
      <c r="C96" s="310" t="s">
        <v>33</v>
      </c>
      <c r="D96" s="307"/>
      <c r="E96" s="305">
        <v>1</v>
      </c>
      <c r="F96" s="516">
        <f>E96*F92</f>
        <v>2125</v>
      </c>
      <c r="G96" s="342">
        <f>O96/$K$4</f>
        <v>0</v>
      </c>
      <c r="H96" s="262">
        <f t="shared" si="19"/>
        <v>0</v>
      </c>
      <c r="I96" s="317"/>
      <c r="J96" s="262"/>
      <c r="K96" s="258">
        <f t="shared" si="18"/>
        <v>0</v>
      </c>
      <c r="L96" s="139"/>
      <c r="M96" s="139"/>
      <c r="O96" s="259"/>
      <c r="P96" s="263"/>
    </row>
    <row r="97" spans="1:16" s="454" customFormat="1" ht="10.2">
      <c r="A97" s="445">
        <v>18</v>
      </c>
      <c r="B97" s="324"/>
      <c r="C97" s="344" t="s">
        <v>163</v>
      </c>
      <c r="D97" s="238"/>
      <c r="E97" s="327"/>
      <c r="F97" s="325">
        <v>912</v>
      </c>
      <c r="G97" s="327"/>
      <c r="H97" s="339">
        <f t="shared" si="19"/>
        <v>0</v>
      </c>
      <c r="I97" s="341">
        <f>P97/$K$4</f>
        <v>0</v>
      </c>
      <c r="J97" s="339">
        <f>F97*I97</f>
        <v>0</v>
      </c>
      <c r="K97" s="253">
        <f>H97+J97</f>
        <v>0</v>
      </c>
      <c r="L97" s="137">
        <f>SUM(K97:K100)</f>
        <v>0</v>
      </c>
      <c r="M97" s="137">
        <f>L97/F97</f>
        <v>0</v>
      </c>
      <c r="N97" s="6"/>
      <c r="O97" s="654"/>
      <c r="P97" s="655"/>
    </row>
    <row r="98" spans="1:16" s="451" customFormat="1" ht="10.2">
      <c r="A98" s="455"/>
      <c r="B98" s="93"/>
      <c r="C98" s="311" t="s">
        <v>164</v>
      </c>
      <c r="D98" s="260" t="s">
        <v>66</v>
      </c>
      <c r="E98" s="328">
        <v>1.05</v>
      </c>
      <c r="F98" s="516">
        <f>F97*E98</f>
        <v>957.6</v>
      </c>
      <c r="G98" s="342">
        <f>O98/$K$4</f>
        <v>0</v>
      </c>
      <c r="H98" s="517">
        <f>G98*F98</f>
        <v>0</v>
      </c>
      <c r="I98" s="656"/>
      <c r="J98" s="517"/>
      <c r="K98" s="258">
        <f>H98+J98</f>
        <v>0</v>
      </c>
      <c r="L98" s="138"/>
      <c r="M98" s="138"/>
      <c r="N98" s="6"/>
      <c r="O98" s="453"/>
      <c r="P98" s="790"/>
    </row>
    <row r="99" spans="1:16" s="451" customFormat="1" ht="10.2">
      <c r="A99" s="455"/>
      <c r="B99" s="93"/>
      <c r="C99" s="311" t="s">
        <v>165</v>
      </c>
      <c r="D99" s="260" t="s">
        <v>73</v>
      </c>
      <c r="E99" s="518">
        <v>2</v>
      </c>
      <c r="F99" s="519">
        <f>E99*F97</f>
        <v>1824</v>
      </c>
      <c r="G99" s="342">
        <f>O99/$K$4</f>
        <v>0</v>
      </c>
      <c r="H99" s="517">
        <f>G99*F99</f>
        <v>0</v>
      </c>
      <c r="I99" s="656"/>
      <c r="J99" s="517"/>
      <c r="K99" s="258">
        <f>H99+J99</f>
        <v>0</v>
      </c>
      <c r="L99" s="138"/>
      <c r="M99" s="138"/>
      <c r="N99" s="6"/>
      <c r="O99" s="453"/>
      <c r="P99" s="790"/>
    </row>
    <row r="100" spans="1:16" s="451" customFormat="1" ht="10.8" thickBot="1">
      <c r="A100" s="447"/>
      <c r="B100" s="204"/>
      <c r="C100" s="657" t="s">
        <v>33</v>
      </c>
      <c r="D100" s="450"/>
      <c r="E100" s="443">
        <v>1</v>
      </c>
      <c r="F100" s="266">
        <f>E100*F97</f>
        <v>912</v>
      </c>
      <c r="G100" s="545">
        <f>O100/$K$4</f>
        <v>0</v>
      </c>
      <c r="H100" s="658">
        <f>G100*F100</f>
        <v>0</v>
      </c>
      <c r="I100" s="659"/>
      <c r="J100" s="658"/>
      <c r="K100" s="660">
        <f>H100+J100</f>
        <v>0</v>
      </c>
      <c r="L100" s="141"/>
      <c r="M100" s="141"/>
      <c r="N100" s="6"/>
      <c r="O100" s="267"/>
      <c r="P100" s="791"/>
    </row>
    <row r="101" spans="1:16" s="451" customFormat="1" ht="24.75" customHeight="1" thickBot="1">
      <c r="A101" s="641"/>
      <c r="B101" s="642"/>
      <c r="C101" s="643" t="s">
        <v>268</v>
      </c>
      <c r="D101" s="644"/>
      <c r="E101" s="645"/>
      <c r="F101" s="646"/>
      <c r="G101" s="647"/>
      <c r="H101" s="646"/>
      <c r="I101" s="644"/>
      <c r="J101" s="648"/>
      <c r="K101" s="649"/>
      <c r="L101" s="650"/>
      <c r="M101" s="651"/>
      <c r="N101" s="6"/>
      <c r="O101" s="652"/>
      <c r="P101" s="653"/>
    </row>
    <row r="102" spans="1:16" s="454" customFormat="1" ht="10.2">
      <c r="A102" s="445">
        <v>16</v>
      </c>
      <c r="B102" s="324"/>
      <c r="C102" s="344" t="s">
        <v>159</v>
      </c>
      <c r="D102" s="238"/>
      <c r="E102" s="327"/>
      <c r="F102" s="325">
        <f>25.3*21</f>
        <v>531.3000000000001</v>
      </c>
      <c r="G102" s="327"/>
      <c r="H102" s="339"/>
      <c r="I102" s="341">
        <f>P102/$K$4</f>
        <v>0</v>
      </c>
      <c r="J102" s="339">
        <f>F102*I102</f>
        <v>0</v>
      </c>
      <c r="K102" s="253">
        <f>H102+J102</f>
        <v>0</v>
      </c>
      <c r="L102" s="137">
        <f>SUM(K102:K106)</f>
        <v>0</v>
      </c>
      <c r="M102" s="137">
        <f>L102/F102</f>
        <v>0</v>
      </c>
      <c r="N102" s="6"/>
      <c r="O102" s="654"/>
      <c r="P102" s="655"/>
    </row>
    <row r="103" spans="1:16" s="6" customFormat="1" ht="10.2">
      <c r="A103" s="91"/>
      <c r="B103" s="94"/>
      <c r="C103" s="310" t="s">
        <v>160</v>
      </c>
      <c r="D103" s="307" t="s">
        <v>75</v>
      </c>
      <c r="E103" s="369">
        <v>0.05</v>
      </c>
      <c r="F103" s="326">
        <f>E103*F102</f>
        <v>26.565000000000005</v>
      </c>
      <c r="G103" s="342">
        <f>O103/$K$4</f>
        <v>0</v>
      </c>
      <c r="H103" s="382">
        <f>G103*F103</f>
        <v>0</v>
      </c>
      <c r="I103" s="342"/>
      <c r="J103" s="326"/>
      <c r="K103" s="258">
        <f>H103+J103</f>
        <v>0</v>
      </c>
      <c r="L103" s="139"/>
      <c r="M103" s="139"/>
      <c r="O103" s="259"/>
      <c r="P103" s="263"/>
    </row>
    <row r="104" spans="1:16" s="451" customFormat="1" ht="10.2">
      <c r="A104" s="618"/>
      <c r="B104" s="93"/>
      <c r="C104" s="310" t="s">
        <v>188</v>
      </c>
      <c r="D104" s="260" t="s">
        <v>81</v>
      </c>
      <c r="E104" s="328">
        <v>1.05</v>
      </c>
      <c r="F104" s="516">
        <f>E104*F102</f>
        <v>557.8650000000001</v>
      </c>
      <c r="G104" s="342">
        <f>O104/$K$4</f>
        <v>0</v>
      </c>
      <c r="H104" s="517">
        <f>G104*F104</f>
        <v>0</v>
      </c>
      <c r="I104" s="656"/>
      <c r="J104" s="517"/>
      <c r="K104" s="258">
        <f>H104+J104</f>
        <v>0</v>
      </c>
      <c r="L104" s="138"/>
      <c r="M104" s="138"/>
      <c r="N104" s="6"/>
      <c r="O104" s="259"/>
      <c r="P104" s="810"/>
    </row>
    <row r="105" spans="1:16" s="6" customFormat="1" ht="10.2">
      <c r="A105" s="619"/>
      <c r="B105" s="94"/>
      <c r="C105" s="310" t="s">
        <v>271</v>
      </c>
      <c r="D105" s="260" t="s">
        <v>142</v>
      </c>
      <c r="E105" s="305">
        <v>6</v>
      </c>
      <c r="F105" s="516">
        <f>F102*E105</f>
        <v>3187.8</v>
      </c>
      <c r="G105" s="342">
        <f>O105/$K$4</f>
        <v>0</v>
      </c>
      <c r="H105" s="517">
        <f aca="true" t="shared" si="20" ref="H105:H106">G105*F105</f>
        <v>0</v>
      </c>
      <c r="I105" s="317"/>
      <c r="J105" s="262"/>
      <c r="K105" s="258">
        <f>H105+J105</f>
        <v>0</v>
      </c>
      <c r="L105" s="139"/>
      <c r="M105" s="139"/>
      <c r="O105" s="259"/>
      <c r="P105" s="263"/>
    </row>
    <row r="106" spans="1:16" s="6" customFormat="1" ht="10.8" thickBot="1">
      <c r="A106" s="619"/>
      <c r="B106" s="94"/>
      <c r="C106" s="310" t="s">
        <v>33</v>
      </c>
      <c r="D106" s="260"/>
      <c r="E106" s="305">
        <v>1</v>
      </c>
      <c r="F106" s="516">
        <f>F102*E106</f>
        <v>531.3000000000001</v>
      </c>
      <c r="G106" s="342">
        <f>O106/$K$4</f>
        <v>0</v>
      </c>
      <c r="H106" s="517">
        <f t="shared" si="20"/>
        <v>0</v>
      </c>
      <c r="I106" s="317"/>
      <c r="J106" s="262"/>
      <c r="K106" s="258">
        <f>H106+J106</f>
        <v>0</v>
      </c>
      <c r="L106" s="140"/>
      <c r="M106" s="140"/>
      <c r="O106" s="259"/>
      <c r="P106" s="263"/>
    </row>
    <row r="107" spans="1:16" s="454" customFormat="1" ht="20.4">
      <c r="A107" s="445">
        <v>17</v>
      </c>
      <c r="B107" s="324"/>
      <c r="C107" s="344" t="s">
        <v>162</v>
      </c>
      <c r="D107" s="238"/>
      <c r="E107" s="327"/>
      <c r="F107" s="325">
        <f>F92</f>
        <v>2125</v>
      </c>
      <c r="G107" s="327"/>
      <c r="H107" s="339"/>
      <c r="I107" s="341">
        <f>P107/$K$4</f>
        <v>0</v>
      </c>
      <c r="J107" s="339">
        <f>F107*I107</f>
        <v>0</v>
      </c>
      <c r="K107" s="253">
        <f aca="true" t="shared" si="21" ref="K107:K111">H107+J107</f>
        <v>0</v>
      </c>
      <c r="L107" s="137">
        <f>SUM(K107:K111)</f>
        <v>0</v>
      </c>
      <c r="M107" s="137">
        <f>L107/F107</f>
        <v>0</v>
      </c>
      <c r="N107" s="6"/>
      <c r="O107" s="654"/>
      <c r="P107" s="655"/>
    </row>
    <row r="108" spans="1:16" s="6" customFormat="1" ht="10.2">
      <c r="A108" s="91"/>
      <c r="B108" s="94"/>
      <c r="C108" s="310" t="s">
        <v>141</v>
      </c>
      <c r="D108" s="260" t="s">
        <v>142</v>
      </c>
      <c r="E108" s="305">
        <f>25/30</f>
        <v>0.8333333333333334</v>
      </c>
      <c r="F108" s="516">
        <f>E108*F107</f>
        <v>1770.8333333333335</v>
      </c>
      <c r="G108" s="342">
        <f>O108/$K$4</f>
        <v>0</v>
      </c>
      <c r="H108" s="262">
        <f aca="true" t="shared" si="22" ref="H108:H112">F108*G108</f>
        <v>0</v>
      </c>
      <c r="I108" s="317"/>
      <c r="J108" s="262"/>
      <c r="K108" s="258">
        <f t="shared" si="21"/>
        <v>0</v>
      </c>
      <c r="L108" s="139"/>
      <c r="M108" s="139"/>
      <c r="O108" s="259"/>
      <c r="P108" s="263"/>
    </row>
    <row r="109" spans="1:16" s="6" customFormat="1" ht="10.2">
      <c r="A109" s="91"/>
      <c r="B109" s="94"/>
      <c r="C109" s="310" t="s">
        <v>144</v>
      </c>
      <c r="D109" s="307" t="s">
        <v>145</v>
      </c>
      <c r="E109" s="305">
        <f>18/100</f>
        <v>0.18</v>
      </c>
      <c r="F109" s="516">
        <f>E109*F107</f>
        <v>382.5</v>
      </c>
      <c r="G109" s="342">
        <f>O109/$K$4</f>
        <v>0</v>
      </c>
      <c r="H109" s="262">
        <f t="shared" si="22"/>
        <v>0</v>
      </c>
      <c r="I109" s="317"/>
      <c r="J109" s="262"/>
      <c r="K109" s="258">
        <f t="shared" si="21"/>
        <v>0</v>
      </c>
      <c r="L109" s="139"/>
      <c r="M109" s="139"/>
      <c r="O109" s="259"/>
      <c r="P109" s="263"/>
    </row>
    <row r="110" spans="1:16" s="6" customFormat="1" ht="10.2">
      <c r="A110" s="91"/>
      <c r="B110" s="94"/>
      <c r="C110" s="310" t="s">
        <v>146</v>
      </c>
      <c r="D110" s="307" t="s">
        <v>142</v>
      </c>
      <c r="E110" s="305">
        <v>0.5</v>
      </c>
      <c r="F110" s="516">
        <f>E110*F107</f>
        <v>1062.5</v>
      </c>
      <c r="G110" s="342">
        <f>O110/$K$4</f>
        <v>0</v>
      </c>
      <c r="H110" s="262">
        <f t="shared" si="22"/>
        <v>0</v>
      </c>
      <c r="I110" s="317"/>
      <c r="J110" s="262"/>
      <c r="K110" s="258">
        <f t="shared" si="21"/>
        <v>0</v>
      </c>
      <c r="L110" s="139"/>
      <c r="M110" s="139"/>
      <c r="O110" s="259"/>
      <c r="P110" s="263"/>
    </row>
    <row r="111" spans="1:16" s="6" customFormat="1" ht="10.8" thickBot="1">
      <c r="A111" s="91"/>
      <c r="B111" s="94"/>
      <c r="C111" s="310" t="s">
        <v>33</v>
      </c>
      <c r="D111" s="307"/>
      <c r="E111" s="305">
        <v>1</v>
      </c>
      <c r="F111" s="516">
        <f>E111*F107</f>
        <v>2125</v>
      </c>
      <c r="G111" s="342">
        <f>O111/$K$4</f>
        <v>0</v>
      </c>
      <c r="H111" s="262">
        <f t="shared" si="22"/>
        <v>0</v>
      </c>
      <c r="I111" s="317"/>
      <c r="J111" s="262"/>
      <c r="K111" s="258">
        <f t="shared" si="21"/>
        <v>0</v>
      </c>
      <c r="L111" s="139"/>
      <c r="M111" s="139"/>
      <c r="O111" s="259"/>
      <c r="P111" s="263"/>
    </row>
    <row r="112" spans="1:16" s="454" customFormat="1" ht="10.2">
      <c r="A112" s="445">
        <v>18</v>
      </c>
      <c r="B112" s="324"/>
      <c r="C112" s="344" t="s">
        <v>163</v>
      </c>
      <c r="D112" s="238"/>
      <c r="E112" s="327"/>
      <c r="F112" s="325">
        <v>912</v>
      </c>
      <c r="G112" s="327"/>
      <c r="H112" s="339">
        <f t="shared" si="22"/>
        <v>0</v>
      </c>
      <c r="I112" s="341">
        <f>P112/$K$4</f>
        <v>0</v>
      </c>
      <c r="J112" s="339">
        <f>F112*I112</f>
        <v>0</v>
      </c>
      <c r="K112" s="253">
        <f>H112+J112</f>
        <v>0</v>
      </c>
      <c r="L112" s="137">
        <f>SUM(K112:K115)</f>
        <v>0</v>
      </c>
      <c r="M112" s="137">
        <f>L112/F112</f>
        <v>0</v>
      </c>
      <c r="N112" s="6"/>
      <c r="O112" s="654"/>
      <c r="P112" s="655"/>
    </row>
    <row r="113" spans="1:16" s="451" customFormat="1" ht="10.2">
      <c r="A113" s="455"/>
      <c r="B113" s="93"/>
      <c r="C113" s="311" t="s">
        <v>164</v>
      </c>
      <c r="D113" s="260" t="s">
        <v>66</v>
      </c>
      <c r="E113" s="328">
        <v>1.05</v>
      </c>
      <c r="F113" s="516">
        <f>F112*E113</f>
        <v>957.6</v>
      </c>
      <c r="G113" s="342">
        <f>O113/$K$4</f>
        <v>0</v>
      </c>
      <c r="H113" s="517">
        <f>G113*F113</f>
        <v>0</v>
      </c>
      <c r="I113" s="656"/>
      <c r="J113" s="517"/>
      <c r="K113" s="258">
        <f>H113+J113</f>
        <v>0</v>
      </c>
      <c r="L113" s="138"/>
      <c r="M113" s="138"/>
      <c r="N113" s="6"/>
      <c r="O113" s="453"/>
      <c r="P113" s="810"/>
    </row>
    <row r="114" spans="1:16" s="451" customFormat="1" ht="10.2">
      <c r="A114" s="455"/>
      <c r="B114" s="93"/>
      <c r="C114" s="311" t="s">
        <v>165</v>
      </c>
      <c r="D114" s="260" t="s">
        <v>73</v>
      </c>
      <c r="E114" s="518">
        <v>2</v>
      </c>
      <c r="F114" s="519">
        <f>E114*F112</f>
        <v>1824</v>
      </c>
      <c r="G114" s="342">
        <f>O114/$K$4</f>
        <v>0</v>
      </c>
      <c r="H114" s="517">
        <f>G114*F114</f>
        <v>0</v>
      </c>
      <c r="I114" s="656"/>
      <c r="J114" s="517"/>
      <c r="K114" s="258">
        <f>H114+J114</f>
        <v>0</v>
      </c>
      <c r="L114" s="138"/>
      <c r="M114" s="138"/>
      <c r="N114" s="6"/>
      <c r="O114" s="453"/>
      <c r="P114" s="810"/>
    </row>
    <row r="115" spans="1:16" s="451" customFormat="1" ht="10.8" thickBot="1">
      <c r="A115" s="447"/>
      <c r="B115" s="204"/>
      <c r="C115" s="657" t="s">
        <v>33</v>
      </c>
      <c r="D115" s="450"/>
      <c r="E115" s="443">
        <v>1</v>
      </c>
      <c r="F115" s="266">
        <f>E115*F112</f>
        <v>912</v>
      </c>
      <c r="G115" s="545">
        <f>O115/$K$4</f>
        <v>0</v>
      </c>
      <c r="H115" s="658">
        <f>G115*F115</f>
        <v>0</v>
      </c>
      <c r="I115" s="659"/>
      <c r="J115" s="658"/>
      <c r="K115" s="660">
        <f>H115+J115</f>
        <v>0</v>
      </c>
      <c r="L115" s="141"/>
      <c r="M115" s="141"/>
      <c r="N115" s="6"/>
      <c r="O115" s="267"/>
      <c r="P115" s="811"/>
    </row>
    <row r="116" spans="1:16" s="451" customFormat="1" ht="24.75" customHeight="1" thickBot="1">
      <c r="A116" s="641"/>
      <c r="B116" s="642"/>
      <c r="C116" s="643" t="s">
        <v>298</v>
      </c>
      <c r="D116" s="644"/>
      <c r="E116" s="645"/>
      <c r="F116" s="646"/>
      <c r="G116" s="647"/>
      <c r="H116" s="646"/>
      <c r="I116" s="644"/>
      <c r="J116" s="648"/>
      <c r="K116" s="649"/>
      <c r="L116" s="650"/>
      <c r="M116" s="651"/>
      <c r="N116" s="6"/>
      <c r="O116" s="652"/>
      <c r="P116" s="653"/>
    </row>
    <row r="117" spans="1:16" s="454" customFormat="1" ht="10.2">
      <c r="A117" s="445">
        <v>19</v>
      </c>
      <c r="B117" s="324"/>
      <c r="C117" s="344" t="s">
        <v>159</v>
      </c>
      <c r="D117" s="238"/>
      <c r="E117" s="327"/>
      <c r="F117" s="325">
        <v>28.3</v>
      </c>
      <c r="G117" s="327"/>
      <c r="H117" s="339"/>
      <c r="I117" s="341">
        <f>P117/$K$4</f>
        <v>0</v>
      </c>
      <c r="J117" s="339">
        <f>F117*I117</f>
        <v>0</v>
      </c>
      <c r="K117" s="253">
        <f>H117+J117</f>
        <v>0</v>
      </c>
      <c r="L117" s="137">
        <f>SUM(K117:K121)</f>
        <v>0</v>
      </c>
      <c r="M117" s="137">
        <f>L117/F117</f>
        <v>0</v>
      </c>
      <c r="N117" s="6"/>
      <c r="O117" s="654"/>
      <c r="P117" s="655"/>
    </row>
    <row r="118" spans="1:16" s="6" customFormat="1" ht="10.2">
      <c r="A118" s="91"/>
      <c r="B118" s="94"/>
      <c r="C118" s="310" t="s">
        <v>160</v>
      </c>
      <c r="D118" s="307" t="s">
        <v>75</v>
      </c>
      <c r="E118" s="369">
        <v>0.05</v>
      </c>
      <c r="F118" s="326">
        <f>E118*F117</f>
        <v>1.415</v>
      </c>
      <c r="G118" s="342">
        <f>O118/$K$4</f>
        <v>0</v>
      </c>
      <c r="H118" s="382">
        <f>G118*F118</f>
        <v>0</v>
      </c>
      <c r="I118" s="342"/>
      <c r="J118" s="326"/>
      <c r="K118" s="258">
        <f>H118+J118</f>
        <v>0</v>
      </c>
      <c r="L118" s="139"/>
      <c r="M118" s="139"/>
      <c r="O118" s="259"/>
      <c r="P118" s="263"/>
    </row>
    <row r="119" spans="1:16" s="451" customFormat="1" ht="10.2">
      <c r="A119" s="618"/>
      <c r="B119" s="93"/>
      <c r="C119" s="310" t="s">
        <v>188</v>
      </c>
      <c r="D119" s="260" t="s">
        <v>81</v>
      </c>
      <c r="E119" s="328">
        <v>1.05</v>
      </c>
      <c r="F119" s="516">
        <f>E119*F117</f>
        <v>29.715000000000003</v>
      </c>
      <c r="G119" s="342">
        <f>O119/$K$4</f>
        <v>0</v>
      </c>
      <c r="H119" s="517">
        <f>G119*F119</f>
        <v>0</v>
      </c>
      <c r="I119" s="656"/>
      <c r="J119" s="517"/>
      <c r="K119" s="258">
        <f>H119+J119</f>
        <v>0</v>
      </c>
      <c r="L119" s="138"/>
      <c r="M119" s="138"/>
      <c r="N119" s="6"/>
      <c r="O119" s="259"/>
      <c r="P119" s="790"/>
    </row>
    <row r="120" spans="1:16" s="6" customFormat="1" ht="10.2">
      <c r="A120" s="619"/>
      <c r="B120" s="94"/>
      <c r="C120" s="310" t="s">
        <v>161</v>
      </c>
      <c r="D120" s="260" t="s">
        <v>142</v>
      </c>
      <c r="E120" s="305">
        <v>6</v>
      </c>
      <c r="F120" s="516">
        <f>F117*E120</f>
        <v>169.8</v>
      </c>
      <c r="G120" s="342">
        <f>O120/$K$4</f>
        <v>0</v>
      </c>
      <c r="H120" s="517">
        <f aca="true" t="shared" si="23" ref="H120:H121">G120*F120</f>
        <v>0</v>
      </c>
      <c r="I120" s="317"/>
      <c r="J120" s="262"/>
      <c r="K120" s="258">
        <f>H120+J120</f>
        <v>0</v>
      </c>
      <c r="L120" s="139"/>
      <c r="M120" s="139"/>
      <c r="O120" s="259"/>
      <c r="P120" s="263"/>
    </row>
    <row r="121" spans="1:16" s="6" customFormat="1" ht="10.8" thickBot="1">
      <c r="A121" s="619"/>
      <c r="B121" s="94"/>
      <c r="C121" s="310" t="s">
        <v>33</v>
      </c>
      <c r="D121" s="260"/>
      <c r="E121" s="305">
        <v>1</v>
      </c>
      <c r="F121" s="516">
        <f>F117*E121</f>
        <v>28.3</v>
      </c>
      <c r="G121" s="342">
        <f>O121/$K$4</f>
        <v>0</v>
      </c>
      <c r="H121" s="517">
        <f t="shared" si="23"/>
        <v>0</v>
      </c>
      <c r="I121" s="317"/>
      <c r="J121" s="262"/>
      <c r="K121" s="258">
        <f>H121+J121</f>
        <v>0</v>
      </c>
      <c r="L121" s="140"/>
      <c r="M121" s="140"/>
      <c r="O121" s="259"/>
      <c r="P121" s="263"/>
    </row>
    <row r="122" spans="1:16" s="454" customFormat="1" ht="10.2">
      <c r="A122" s="445">
        <v>20</v>
      </c>
      <c r="B122" s="324"/>
      <c r="C122" s="344" t="s">
        <v>267</v>
      </c>
      <c r="D122" s="238"/>
      <c r="E122" s="327"/>
      <c r="F122" s="325">
        <v>5.3</v>
      </c>
      <c r="G122" s="327"/>
      <c r="H122" s="339"/>
      <c r="I122" s="341">
        <f>P122/$K$4</f>
        <v>0</v>
      </c>
      <c r="J122" s="339">
        <f>F122*I122</f>
        <v>0</v>
      </c>
      <c r="K122" s="253">
        <f aca="true" t="shared" si="24" ref="K122:K126">H122+J122</f>
        <v>0</v>
      </c>
      <c r="L122" s="137">
        <f>SUM(K122:K126)</f>
        <v>0</v>
      </c>
      <c r="M122" s="137">
        <f>L122/F122</f>
        <v>0</v>
      </c>
      <c r="N122" s="6"/>
      <c r="O122" s="654"/>
      <c r="P122" s="655"/>
    </row>
    <row r="123" spans="1:16" s="6" customFormat="1" ht="10.2">
      <c r="A123" s="91"/>
      <c r="B123" s="94"/>
      <c r="C123" s="310" t="s">
        <v>141</v>
      </c>
      <c r="D123" s="260" t="s">
        <v>142</v>
      </c>
      <c r="E123" s="305">
        <f>25/30</f>
        <v>0.8333333333333334</v>
      </c>
      <c r="F123" s="516">
        <f>E123*F122</f>
        <v>4.416666666666667</v>
      </c>
      <c r="G123" s="342">
        <f>O123/$K$4</f>
        <v>0</v>
      </c>
      <c r="H123" s="262">
        <f aca="true" t="shared" si="25" ref="H123:H127">F123*G123</f>
        <v>0</v>
      </c>
      <c r="I123" s="317"/>
      <c r="J123" s="262"/>
      <c r="K123" s="258">
        <f t="shared" si="24"/>
        <v>0</v>
      </c>
      <c r="L123" s="139"/>
      <c r="M123" s="139"/>
      <c r="N123" s="454"/>
      <c r="O123" s="259"/>
      <c r="P123" s="263"/>
    </row>
    <row r="124" spans="1:16" s="6" customFormat="1" ht="10.2">
      <c r="A124" s="91"/>
      <c r="B124" s="94"/>
      <c r="C124" s="310" t="s">
        <v>144</v>
      </c>
      <c r="D124" s="307" t="s">
        <v>145</v>
      </c>
      <c r="E124" s="305">
        <f>18/100</f>
        <v>0.18</v>
      </c>
      <c r="F124" s="516">
        <f>E124*F122</f>
        <v>0.954</v>
      </c>
      <c r="G124" s="342">
        <f>O124/$K$4</f>
        <v>0</v>
      </c>
      <c r="H124" s="262">
        <f t="shared" si="25"/>
        <v>0</v>
      </c>
      <c r="I124" s="317"/>
      <c r="J124" s="262"/>
      <c r="K124" s="258">
        <f t="shared" si="24"/>
        <v>0</v>
      </c>
      <c r="L124" s="139"/>
      <c r="M124" s="139"/>
      <c r="O124" s="259"/>
      <c r="P124" s="263"/>
    </row>
    <row r="125" spans="1:16" s="6" customFormat="1" ht="10.2">
      <c r="A125" s="91"/>
      <c r="B125" s="94"/>
      <c r="C125" s="310" t="s">
        <v>146</v>
      </c>
      <c r="D125" s="307" t="s">
        <v>142</v>
      </c>
      <c r="E125" s="305">
        <v>0.5</v>
      </c>
      <c r="F125" s="516">
        <f>E125*F122</f>
        <v>2.65</v>
      </c>
      <c r="G125" s="342">
        <f>O125/$K$4</f>
        <v>0</v>
      </c>
      <c r="H125" s="262">
        <f t="shared" si="25"/>
        <v>0</v>
      </c>
      <c r="I125" s="317"/>
      <c r="J125" s="262"/>
      <c r="K125" s="258">
        <f t="shared" si="24"/>
        <v>0</v>
      </c>
      <c r="L125" s="139"/>
      <c r="M125" s="139"/>
      <c r="N125" s="454"/>
      <c r="O125" s="259"/>
      <c r="P125" s="263"/>
    </row>
    <row r="126" spans="1:16" s="6" customFormat="1" ht="10.8" thickBot="1">
      <c r="A126" s="91"/>
      <c r="B126" s="94"/>
      <c r="C126" s="310" t="s">
        <v>33</v>
      </c>
      <c r="D126" s="307"/>
      <c r="E126" s="305">
        <v>1</v>
      </c>
      <c r="F126" s="516">
        <f>E126*F122</f>
        <v>5.3</v>
      </c>
      <c r="G126" s="342">
        <f>O126/$K$4</f>
        <v>0</v>
      </c>
      <c r="H126" s="262">
        <f t="shared" si="25"/>
        <v>0</v>
      </c>
      <c r="I126" s="317"/>
      <c r="J126" s="262"/>
      <c r="K126" s="258">
        <f t="shared" si="24"/>
        <v>0</v>
      </c>
      <c r="L126" s="139"/>
      <c r="M126" s="139"/>
      <c r="O126" s="259"/>
      <c r="P126" s="263"/>
    </row>
    <row r="127" spans="1:16" s="454" customFormat="1" ht="10.2">
      <c r="A127" s="445">
        <v>21</v>
      </c>
      <c r="B127" s="324"/>
      <c r="C127" s="344" t="s">
        <v>264</v>
      </c>
      <c r="D127" s="238"/>
      <c r="E127" s="327"/>
      <c r="F127" s="325">
        <v>20.4</v>
      </c>
      <c r="G127" s="327"/>
      <c r="H127" s="339">
        <f t="shared" si="25"/>
        <v>0</v>
      </c>
      <c r="I127" s="341">
        <f>P127/$K$4</f>
        <v>0</v>
      </c>
      <c r="J127" s="339">
        <f>F127*I127</f>
        <v>0</v>
      </c>
      <c r="K127" s="253">
        <f>H127+J127</f>
        <v>0</v>
      </c>
      <c r="L127" s="137">
        <f>SUM(K127:K130)</f>
        <v>0</v>
      </c>
      <c r="M127" s="137">
        <f>L127/F127</f>
        <v>0</v>
      </c>
      <c r="O127" s="654"/>
      <c r="P127" s="655"/>
    </row>
    <row r="128" spans="1:16" s="451" customFormat="1" ht="10.2">
      <c r="A128" s="455"/>
      <c r="B128" s="93"/>
      <c r="C128" s="311" t="s">
        <v>265</v>
      </c>
      <c r="D128" s="260" t="s">
        <v>66</v>
      </c>
      <c r="E128" s="328">
        <v>1.05</v>
      </c>
      <c r="F128" s="516">
        <f>F127*E128</f>
        <v>21.419999999999998</v>
      </c>
      <c r="G128" s="342">
        <f>O128/$K$4</f>
        <v>0</v>
      </c>
      <c r="H128" s="517">
        <f>G128*F128</f>
        <v>0</v>
      </c>
      <c r="I128" s="656"/>
      <c r="J128" s="517"/>
      <c r="K128" s="258">
        <f>H128+J128</f>
        <v>0</v>
      </c>
      <c r="L128" s="138"/>
      <c r="M128" s="138"/>
      <c r="O128" s="453"/>
      <c r="P128" s="790"/>
    </row>
    <row r="129" spans="1:16" s="451" customFormat="1" ht="10.2">
      <c r="A129" s="455"/>
      <c r="B129" s="93"/>
      <c r="C129" s="311" t="s">
        <v>266</v>
      </c>
      <c r="D129" s="260" t="s">
        <v>73</v>
      </c>
      <c r="E129" s="518">
        <v>4</v>
      </c>
      <c r="F129" s="519">
        <f>E129*F127</f>
        <v>81.6</v>
      </c>
      <c r="G129" s="342">
        <f>O129/$K$4</f>
        <v>0</v>
      </c>
      <c r="H129" s="517">
        <f>G129*F129</f>
        <v>0</v>
      </c>
      <c r="I129" s="656"/>
      <c r="J129" s="517"/>
      <c r="K129" s="258">
        <f>H129+J129</f>
        <v>0</v>
      </c>
      <c r="L129" s="138"/>
      <c r="M129" s="138"/>
      <c r="O129" s="453"/>
      <c r="P129" s="790"/>
    </row>
    <row r="130" spans="1:16" s="451" customFormat="1" ht="10.8" thickBot="1">
      <c r="A130" s="447"/>
      <c r="B130" s="204"/>
      <c r="C130" s="657" t="s">
        <v>33</v>
      </c>
      <c r="D130" s="450"/>
      <c r="E130" s="443">
        <v>1</v>
      </c>
      <c r="F130" s="266">
        <f>E130*F127</f>
        <v>20.4</v>
      </c>
      <c r="G130" s="545">
        <f>O130/$K$4</f>
        <v>0</v>
      </c>
      <c r="H130" s="658">
        <f>G130*F130</f>
        <v>0</v>
      </c>
      <c r="I130" s="659"/>
      <c r="J130" s="658"/>
      <c r="K130" s="660">
        <f>H130+J130</f>
        <v>0</v>
      </c>
      <c r="L130" s="141"/>
      <c r="M130" s="141"/>
      <c r="N130" s="190"/>
      <c r="O130" s="267"/>
      <c r="P130" s="791"/>
    </row>
    <row r="131" spans="1:16" s="12" customFormat="1" ht="16.2" thickBot="1">
      <c r="A131" s="206"/>
      <c r="B131" s="61"/>
      <c r="C131" s="6"/>
      <c r="D131" s="6"/>
      <c r="E131" s="6"/>
      <c r="F131" s="444"/>
      <c r="G131" s="30"/>
      <c r="H131" s="87">
        <f>SUM(H12:H130)</f>
        <v>0</v>
      </c>
      <c r="I131" s="32"/>
      <c r="J131" s="31"/>
      <c r="K131" s="81"/>
      <c r="O131" s="554"/>
      <c r="P131" s="554"/>
    </row>
    <row r="132" spans="1:16" s="12" customFormat="1" ht="16.2" thickBot="1">
      <c r="A132" s="6"/>
      <c r="B132" s="61"/>
      <c r="C132" s="6"/>
      <c r="D132" s="6"/>
      <c r="E132" s="6"/>
      <c r="F132" s="444"/>
      <c r="G132" s="19"/>
      <c r="H132" s="82" t="s">
        <v>166</v>
      </c>
      <c r="I132" s="83">
        <v>0.02</v>
      </c>
      <c r="J132" s="20"/>
      <c r="K132" s="546">
        <f>I132*H131</f>
        <v>0</v>
      </c>
      <c r="O132" s="554"/>
      <c r="P132" s="554"/>
    </row>
    <row r="133" spans="1:16" s="12" customFormat="1" ht="33" customHeight="1" thickBot="1">
      <c r="A133" s="6"/>
      <c r="B133" s="61"/>
      <c r="C133" s="1"/>
      <c r="D133" s="6"/>
      <c r="E133" s="6"/>
      <c r="F133" s="444"/>
      <c r="G133" s="30"/>
      <c r="H133" s="31"/>
      <c r="I133" s="32"/>
      <c r="J133" s="31"/>
      <c r="K133" s="547"/>
      <c r="O133" s="554"/>
      <c r="P133" s="554"/>
    </row>
    <row r="134" spans="1:16" s="12" customFormat="1" ht="16.2" thickBot="1">
      <c r="A134" s="6"/>
      <c r="B134" s="61"/>
      <c r="C134" s="1"/>
      <c r="D134" s="629"/>
      <c r="E134" s="1"/>
      <c r="F134" s="451"/>
      <c r="G134" s="19"/>
      <c r="H134" s="20" t="s">
        <v>56</v>
      </c>
      <c r="I134" s="21"/>
      <c r="J134" s="20"/>
      <c r="K134" s="546">
        <f>SUM(K12:K133)</f>
        <v>0</v>
      </c>
      <c r="O134" s="554"/>
      <c r="P134" s="554"/>
    </row>
    <row r="135" spans="1:16" s="12" customFormat="1" ht="16.2" thickBot="1">
      <c r="A135" s="6"/>
      <c r="B135" s="61"/>
      <c r="C135" s="1"/>
      <c r="D135" s="629"/>
      <c r="E135" s="1"/>
      <c r="F135" s="451"/>
      <c r="G135" s="33"/>
      <c r="H135" s="34"/>
      <c r="I135" s="35"/>
      <c r="J135" s="34"/>
      <c r="K135" s="548"/>
      <c r="O135" s="554"/>
      <c r="P135" s="554"/>
    </row>
    <row r="136" spans="2:16" s="12" customFormat="1" ht="15.75">
      <c r="B136" s="62"/>
      <c r="C136" s="8"/>
      <c r="F136" s="13"/>
      <c r="G136" s="22"/>
      <c r="H136" s="44" t="s">
        <v>68</v>
      </c>
      <c r="I136" s="24">
        <v>0.08</v>
      </c>
      <c r="J136" s="25"/>
      <c r="K136" s="549">
        <f>K134*I136</f>
        <v>0</v>
      </c>
      <c r="O136" s="554"/>
      <c r="P136" s="554"/>
    </row>
    <row r="137" spans="2:16" s="12" customFormat="1" ht="16.2" thickBot="1">
      <c r="B137" s="62"/>
      <c r="C137" s="8"/>
      <c r="F137" s="13"/>
      <c r="G137" s="16"/>
      <c r="H137" s="42" t="s">
        <v>56</v>
      </c>
      <c r="I137" s="26"/>
      <c r="J137" s="43"/>
      <c r="K137" s="550">
        <f>K134+K136</f>
        <v>0</v>
      </c>
      <c r="O137" s="554"/>
      <c r="P137" s="554"/>
    </row>
    <row r="138" spans="2:16" s="12" customFormat="1" ht="16.2" thickBot="1">
      <c r="B138" s="62"/>
      <c r="C138" s="8"/>
      <c r="F138" s="13"/>
      <c r="G138" s="36"/>
      <c r="H138" s="37"/>
      <c r="I138" s="38"/>
      <c r="J138" s="39"/>
      <c r="K138" s="551"/>
      <c r="O138" s="554"/>
      <c r="P138" s="554"/>
    </row>
    <row r="139" spans="2:16" s="12" customFormat="1" ht="15.75">
      <c r="B139" s="62"/>
      <c r="C139" s="8"/>
      <c r="F139" s="13"/>
      <c r="G139" s="27"/>
      <c r="H139" s="44" t="s">
        <v>69</v>
      </c>
      <c r="I139" s="24">
        <v>0.08</v>
      </c>
      <c r="J139" s="25"/>
      <c r="K139" s="549">
        <f>K137*I139</f>
        <v>0</v>
      </c>
      <c r="O139" s="554"/>
      <c r="P139" s="554"/>
    </row>
    <row r="140" spans="2:16" s="12" customFormat="1" ht="16.2" thickBot="1">
      <c r="B140" s="62"/>
      <c r="C140" s="8"/>
      <c r="F140" s="13"/>
      <c r="G140" s="16"/>
      <c r="H140" s="42" t="s">
        <v>56</v>
      </c>
      <c r="I140" s="28"/>
      <c r="J140" s="43"/>
      <c r="K140" s="550">
        <f>K137+K139</f>
        <v>0</v>
      </c>
      <c r="O140" s="554"/>
      <c r="P140" s="554"/>
    </row>
    <row r="141" spans="2:16" s="12" customFormat="1" ht="16.2" thickBot="1">
      <c r="B141" s="62"/>
      <c r="C141" s="8"/>
      <c r="F141" s="13"/>
      <c r="G141" s="36"/>
      <c r="H141" s="37"/>
      <c r="I141" s="40"/>
      <c r="J141" s="39"/>
      <c r="K141" s="551"/>
      <c r="O141" s="554"/>
      <c r="P141" s="554"/>
    </row>
    <row r="142" spans="2:16" s="12" customFormat="1" ht="15.75">
      <c r="B142" s="62"/>
      <c r="C142" s="8"/>
      <c r="F142" s="13"/>
      <c r="G142" s="27"/>
      <c r="H142" s="44" t="s">
        <v>70</v>
      </c>
      <c r="I142" s="24">
        <v>0</v>
      </c>
      <c r="J142" s="25"/>
      <c r="K142" s="549">
        <f>K140*I142</f>
        <v>0</v>
      </c>
      <c r="O142" s="554"/>
      <c r="P142" s="554"/>
    </row>
    <row r="143" spans="1:16" s="8" customFormat="1" ht="16.2" thickBot="1">
      <c r="A143" s="12"/>
      <c r="B143" s="62"/>
      <c r="D143" s="12"/>
      <c r="E143" s="12"/>
      <c r="F143" s="13"/>
      <c r="G143" s="16"/>
      <c r="H143" s="42" t="s">
        <v>56</v>
      </c>
      <c r="I143" s="29"/>
      <c r="J143" s="43"/>
      <c r="K143" s="550">
        <f>K140+K142</f>
        <v>0</v>
      </c>
      <c r="O143" s="554"/>
      <c r="P143" s="554"/>
    </row>
    <row r="144" spans="1:16" s="8" customFormat="1" ht="16.2" thickBot="1">
      <c r="A144" s="12"/>
      <c r="B144" s="62"/>
      <c r="D144" s="12"/>
      <c r="E144" s="12"/>
      <c r="F144" s="13"/>
      <c r="G144" s="36"/>
      <c r="H144" s="37"/>
      <c r="I144" s="41"/>
      <c r="J144" s="39"/>
      <c r="K144" s="551"/>
      <c r="O144" s="554"/>
      <c r="P144" s="554"/>
    </row>
    <row r="145" spans="1:16" s="6" customFormat="1" ht="15.75">
      <c r="A145" s="12"/>
      <c r="B145" s="62"/>
      <c r="C145" s="8"/>
      <c r="D145" s="12"/>
      <c r="E145" s="12"/>
      <c r="F145" s="13"/>
      <c r="G145" s="27"/>
      <c r="H145" s="23" t="s">
        <v>71</v>
      </c>
      <c r="I145" s="24">
        <v>0.18</v>
      </c>
      <c r="J145" s="25"/>
      <c r="K145" s="552">
        <f>K143*I145</f>
        <v>0</v>
      </c>
      <c r="O145" s="554"/>
      <c r="P145" s="554"/>
    </row>
    <row r="146" spans="1:16" s="6" customFormat="1" ht="16.2" thickBot="1">
      <c r="A146" s="12"/>
      <c r="B146" s="62"/>
      <c r="C146" s="8"/>
      <c r="D146" s="12"/>
      <c r="E146" s="12"/>
      <c r="F146" s="13"/>
      <c r="G146" s="16"/>
      <c r="H146" s="17" t="s">
        <v>56</v>
      </c>
      <c r="I146" s="26" t="s">
        <v>12</v>
      </c>
      <c r="J146" s="18"/>
      <c r="K146" s="553">
        <f>K143+K145</f>
        <v>0</v>
      </c>
      <c r="O146" s="554"/>
      <c r="P146" s="554"/>
    </row>
    <row r="150" ht="15.75">
      <c r="C150" s="661"/>
    </row>
  </sheetData>
  <mergeCells count="15">
    <mergeCell ref="L7:L8"/>
    <mergeCell ref="M7:M8"/>
    <mergeCell ref="O7:O8"/>
    <mergeCell ref="P7:P8"/>
    <mergeCell ref="C1:E1"/>
    <mergeCell ref="A2:C2"/>
    <mergeCell ref="I2:K2"/>
    <mergeCell ref="A3:B3"/>
    <mergeCell ref="A7:A8"/>
    <mergeCell ref="B7:B8"/>
    <mergeCell ref="D7:D8"/>
    <mergeCell ref="E7:F7"/>
    <mergeCell ref="G7:H7"/>
    <mergeCell ref="I7:J7"/>
    <mergeCell ref="K7:K8"/>
  </mergeCells>
  <printOptions/>
  <pageMargins left="0.7500000000000001" right="0.750000000000000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Usere</dc:creator>
  <cp:keywords/>
  <dc:description/>
  <cp:lastModifiedBy>HP</cp:lastModifiedBy>
  <cp:lastPrinted>2013-11-21T13:03:32Z</cp:lastPrinted>
  <dcterms:created xsi:type="dcterms:W3CDTF">2013-10-10T07:32:43Z</dcterms:created>
  <dcterms:modified xsi:type="dcterms:W3CDTF">2018-08-15T12:38:54Z</dcterms:modified>
  <cp:category/>
  <cp:version/>
  <cp:contentType/>
  <cp:contentStatus/>
</cp:coreProperties>
</file>