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 hidePivotFieldList="1" defaultThemeVersion="124226"/>
  <bookViews>
    <workbookView xWindow="0" yWindow="0" windowWidth="30720" windowHeight="13290" tabRatio="948" activeTab="0"/>
  </bookViews>
  <sheets>
    <sheet name="TOTAL" sheetId="87" r:id="rId1"/>
    <sheet name="Unit Price Assumptions" sheetId="31" r:id="rId2"/>
    <sheet name="Site Preparation Works" sheetId="88" r:id="rId3"/>
    <sheet name="-13.730" sheetId="57" r:id="rId4"/>
    <sheet name="-10.430" sheetId="29" r:id="rId5"/>
    <sheet name="-7.130" sheetId="3" r:id="rId6"/>
    <sheet name="-3.230" sheetId="8" r:id="rId7"/>
    <sheet name="+0.370" sheetId="7" r:id="rId8"/>
    <sheet name="+3.970" sheetId="9" r:id="rId9"/>
    <sheet name="+7.570" sheetId="58" r:id="rId10"/>
    <sheet name="+10.870" sheetId="32" r:id="rId11"/>
    <sheet name="+13.770" sheetId="33" r:id="rId12"/>
  </sheets>
  <externalReferences>
    <externalReference r:id="rId15"/>
  </externalReferences>
  <definedNames>
    <definedName name="_xlnm.Print_Area" localSheetId="7">'+0.370'!$A$1:$M$43</definedName>
    <definedName name="_xlnm.Print_Area" localSheetId="11">'+13.770'!$A$1:$M$19</definedName>
    <definedName name="_xlnm.Print_Area" localSheetId="8">'+3.970'!$A$1:$M$44</definedName>
    <definedName name="_xlnm.Print_Area" localSheetId="5">'-7.130'!$A$2:$M$20</definedName>
    <definedName name="_xlnm.Print_Titles" localSheetId="3">'-13.730'!$10:$10</definedName>
    <definedName name="_xlnm.Print_Titles" localSheetId="4">'-10.430'!$10:$10</definedName>
    <definedName name="_xlnm.Print_Titles" localSheetId="9">'+7.570'!$9:$9</definedName>
    <definedName name="_xlnm.Print_Titles" localSheetId="10">'+10.870'!$14:$14</definedName>
  </definedNames>
  <calcPr calcId="162913" fullPrecision="0"/>
</workbook>
</file>

<file path=xl/sharedStrings.xml><?xml version="1.0" encoding="utf-8"?>
<sst xmlns="http://schemas.openxmlformats.org/spreadsheetml/2006/main" count="1005" uniqueCount="149">
  <si>
    <t>##</t>
  </si>
  <si>
    <t>1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</si>
  <si>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</si>
  <si>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</si>
  <si>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</si>
  <si>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</si>
  <si>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</si>
  <si>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</si>
  <si>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</si>
  <si>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</si>
  <si>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</si>
  <si>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m3</t>
  </si>
  <si>
    <t>kg</t>
  </si>
  <si>
    <t>2</t>
  </si>
  <si>
    <t>5</t>
  </si>
  <si>
    <t>m2</t>
  </si>
  <si>
    <t>BOQ</t>
  </si>
  <si>
    <t>N</t>
  </si>
  <si>
    <t>Total</t>
  </si>
  <si>
    <t>USD</t>
  </si>
  <si>
    <t>Description</t>
  </si>
  <si>
    <t>Quantity</t>
  </si>
  <si>
    <t>Material</t>
  </si>
  <si>
    <t>Labor</t>
  </si>
  <si>
    <t>Transport and Equipment</t>
  </si>
  <si>
    <t>TOTAL</t>
  </si>
  <si>
    <t>Overhead:</t>
  </si>
  <si>
    <t>Sub-Total</t>
  </si>
  <si>
    <t>Other supplementary material</t>
  </si>
  <si>
    <t>Plywood</t>
  </si>
  <si>
    <t>Electrode</t>
  </si>
  <si>
    <t>UNIT</t>
  </si>
  <si>
    <t>Unit.Price</t>
  </si>
  <si>
    <t>VAT</t>
  </si>
  <si>
    <t>Timber</t>
  </si>
  <si>
    <t>tn</t>
  </si>
  <si>
    <t>R/C Stairs B30</t>
  </si>
  <si>
    <t>H Beam</t>
  </si>
  <si>
    <t>Steel Rebar Grade A240C</t>
  </si>
  <si>
    <t>Steel Rebar Grade A 500C</t>
  </si>
  <si>
    <t>GEL</t>
  </si>
  <si>
    <t>სამუშაოთა აღწერა</t>
  </si>
  <si>
    <t>H კოჭი</t>
  </si>
  <si>
    <t>ფანერა</t>
  </si>
  <si>
    <t>ელექტროდი</t>
  </si>
  <si>
    <t>არმატურა A 500C</t>
  </si>
  <si>
    <t>სხვა მასალა</t>
  </si>
  <si>
    <t>არმატურა A240C</t>
  </si>
  <si>
    <t>ხის მასალა</t>
  </si>
  <si>
    <t>R/C Columns</t>
  </si>
  <si>
    <t>R/C Shear Walls</t>
  </si>
  <si>
    <t>R/C Slabs and Beams</t>
  </si>
  <si>
    <t>რ/ბ კოლონები</t>
  </si>
  <si>
    <t>რ/ბ კედლები</t>
  </si>
  <si>
    <t>რ/ბ ფილები და რიგელები</t>
  </si>
  <si>
    <t xml:space="preserve">ბეტონი B30 </t>
  </si>
  <si>
    <t>Concrete B30</t>
  </si>
  <si>
    <t>R/C Stairs</t>
  </si>
  <si>
    <t>რ/ბ კიბე</t>
  </si>
  <si>
    <t>R/C Slabs &amp; Beams B30</t>
  </si>
  <si>
    <t>რ/ბ ფილის და რიგელების მოწყობა B30 კლასის ბეტონით</t>
  </si>
  <si>
    <t>ბეტონი B30</t>
  </si>
  <si>
    <t>R/C Colums B30</t>
  </si>
  <si>
    <t>რ/ბ კოლონების მოწყობა B30 კლასის ბეტონით</t>
  </si>
  <si>
    <t>რ/ბ კიბის მოწყობა B30 კლასის ბეტონით</t>
  </si>
  <si>
    <t>რ/ბ კედლების მოწყობა B30 კლასის ბეტონით</t>
  </si>
  <si>
    <t>Profit</t>
  </si>
  <si>
    <t>Level +3.970</t>
  </si>
  <si>
    <t>Level +7.570</t>
  </si>
  <si>
    <t>Level +10.870</t>
  </si>
  <si>
    <t>R/C Walls B30</t>
  </si>
  <si>
    <t>R/C Ramp B25W6</t>
  </si>
  <si>
    <t>ბეტონი B25 W6</t>
  </si>
  <si>
    <t>Concrete B25W6</t>
  </si>
  <si>
    <t>Concrete B7.5</t>
  </si>
  <si>
    <t>ბეტონი B7.5</t>
  </si>
  <si>
    <t>ბეტონი B25W6</t>
  </si>
  <si>
    <t>რ/ბ პანდუსის მოწყობა B25W6 კლასის ბეტონით</t>
  </si>
  <si>
    <t>აღწერა</t>
  </si>
  <si>
    <t>Discription</t>
  </si>
  <si>
    <t>Total GEL</t>
  </si>
  <si>
    <t>Total USD</t>
  </si>
  <si>
    <t>Level +0.370</t>
  </si>
  <si>
    <t>Total Value</t>
  </si>
  <si>
    <t>Site Preparation Works</t>
  </si>
  <si>
    <t>Locate and protect make safe existing hv cables</t>
  </si>
  <si>
    <t>Locate and reconnect all existing underground drainage</t>
  </si>
  <si>
    <t>Remove all existing formworks including stairwells</t>
  </si>
  <si>
    <t>Arrange site containers, temporary toilets and storage (period 2 monthes)</t>
  </si>
  <si>
    <t>Temporary eleatric and water supply (2 monthes)</t>
  </si>
  <si>
    <t>Remoove and locate on site all materials of previous contractors / clear site of rubbish</t>
  </si>
  <si>
    <t>არსებული შეფიცრულობების გამოხსნა კიბის წერტილების ჩათვლით (ყველა!)</t>
  </si>
  <si>
    <t>წინა კონტრაქტორის ყველა მასალის შეკრება და დასაწყობება</t>
  </si>
  <si>
    <t>შენობის გარშემო გრუნტის შესაბამის დონეზე ექსკავაცია, ჰიდროიზოლაციის დათვალიერება და შესწავლა, მემბრანის შეკეთება და ჩამოვარდნილი ადგილების დამაგრება, ლიფტის შახტების ჰიდროიზოლაციის მოწყობა</t>
  </si>
  <si>
    <t>მასალა / Material</t>
  </si>
  <si>
    <t>ხელფასი / Labor</t>
  </si>
  <si>
    <t>#</t>
  </si>
  <si>
    <t>მაღალი ძაბვის კაბელების მოწესრიგება / დაცვა</t>
  </si>
  <si>
    <t>მიწისქვეშა სანიაღვრე ქსელის დაერთება</t>
  </si>
  <si>
    <t>დროებითი კონტეინერების, საპირფარეშოების და სხვა დამხმარე სათავსოების მოწყობა / შენახვა 2 თვის პერიოდით</t>
  </si>
  <si>
    <t>დროებითი ელ. მომარაგების და წყლის მიწოდების მოწყობა, გამრიცხველიანობა და შენახვა 2 თვის პერიოდით</t>
  </si>
  <si>
    <t>UNIT PRICE ASSUMPTION</t>
  </si>
  <si>
    <t>LEVEL -13.730</t>
  </si>
  <si>
    <t>Unit Price</t>
  </si>
  <si>
    <t>LEVEL -10.430</t>
  </si>
  <si>
    <t>EVEX LABORATORY R/C WORKS</t>
  </si>
  <si>
    <t>Level -13.730 (Ramp Arrangement)</t>
  </si>
  <si>
    <t>Level -10.430 (R/C Stairs)</t>
  </si>
  <si>
    <t>Level -7.130 (R/C Stairs)</t>
  </si>
  <si>
    <t xml:space="preserve"> BOQ</t>
  </si>
  <si>
    <t>Material by Employer</t>
  </si>
  <si>
    <t>დამკვეთის მასალა</t>
  </si>
  <si>
    <t>ფასი / Price</t>
  </si>
  <si>
    <t>ჯამი / Total:</t>
  </si>
  <si>
    <t>Normative Ratio</t>
  </si>
  <si>
    <t>Grand Total:</t>
  </si>
  <si>
    <t>LEVEL -7.130</t>
  </si>
  <si>
    <t xml:space="preserve">          </t>
  </si>
  <si>
    <t xml:space="preserve">Level -3.230    </t>
  </si>
  <si>
    <t>Level -3.230 (Coloumns/Walls/Stairs)</t>
  </si>
  <si>
    <t>Level +0.370 (full)</t>
  </si>
  <si>
    <t>Level +3.970 (full)</t>
  </si>
  <si>
    <t>Level +7.570 (full)</t>
  </si>
  <si>
    <t>Level +10.870 (full)</t>
  </si>
  <si>
    <t>Level +13.770 (full)</t>
  </si>
  <si>
    <t>Total / ჯამი</t>
  </si>
  <si>
    <t>ტონა / Tones</t>
  </si>
  <si>
    <t>Total (Excl. VAT)</t>
  </si>
  <si>
    <t>USD  Exchange Rate</t>
  </si>
  <si>
    <t>Make safe excavation around perimeter of building, inspect existing waterproof membrane repair and replace whereas necessary; check hydroinsulation of elevator pits</t>
  </si>
  <si>
    <t>Arrange site hoarding with fencing, gate and Security</t>
  </si>
  <si>
    <t xml:space="preserve"> საამშენებლო უბნის ღობით შემოფარგვლა, შესაბამისი ალაყაფის კარის მოწყობა და დაცვის ორგანიზება</t>
  </si>
  <si>
    <t>Construct and maintain temporary road to the site / arrange truck wash facility</t>
  </si>
  <si>
    <t>დროებითი გზის მოწყობა და შესაბამის კონდიციაში შენარჩუნება / მანქანების სარეცხი პუნქტი</t>
  </si>
  <si>
    <t>Temporary Utilities &amp; Site Survey &amp; Preparation Works</t>
  </si>
  <si>
    <t>Total (Including VAT)</t>
  </si>
  <si>
    <t>რაოდენობა</t>
  </si>
  <si>
    <t>ზომის ერთეული</t>
  </si>
  <si>
    <t>სულ</t>
  </si>
  <si>
    <t>ერთეულის ფასი (USD)</t>
  </si>
  <si>
    <t>Transport &amp; Equipment</t>
  </si>
  <si>
    <t>ტრანსპორტირება &amp; მანქანა დანადგარი</t>
  </si>
  <si>
    <t>კომპანია</t>
  </si>
  <si>
    <t>პროექტი</t>
  </si>
  <si>
    <t>მეგალაბი</t>
  </si>
  <si>
    <t xml:space="preserve">US $  Rate </t>
  </si>
  <si>
    <t>R/C Lift Shaft B25W6</t>
  </si>
  <si>
    <t>რ/ბ ლიფტის შახტის მოწყობა B25W6 კლასის ბეტონით</t>
  </si>
  <si>
    <t>ქრიათივ იმფრეშენ კავკასუს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</si>
</sst>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р_._-;\-* #,##0.00_р_._-;_-* &quot;-&quot;??_р_._-;_-@_-"/>
    <numFmt numFmtId="167" formatCode="_(&quot;GEL&quot;* #,##0.00_);_(&quot;GEL&quot;* \(#,##0.00\);_(&quot;GEL&quot;* &quot;-&quot;??_);_(@_)"/>
    <numFmt numFmtId="168" formatCode="0.0"/>
    <numFmt numFmtId="169" formatCode="_(* #,##0.000_);_(* \(#,##0.000\);_(* &quot;-&quot;??_);_(@_)"/>
    <numFmt numFmtId="170" formatCode="_([$$-409]* #,##0.00_);_([$$-409]* \(#,##0.00\);_([$$-409]* &quot;-&quot;??_);_(@_)"/>
    <numFmt numFmtId="171" formatCode="&quot;GEL&quot;#,##0.00"/>
    <numFmt numFmtId="172" formatCode="0.000"/>
    <numFmt numFmtId="173" formatCode="_-* #,##0_р_._-;\-* #,##0_р_._-;_-* &quot;-&quot;??_р_._-;_-@_-"/>
    <numFmt numFmtId="174" formatCode="_(* #,##0.0000_);_(* \(#,##0.0000\);_(* &quot;-&quot;??_);_(@_)"/>
    <numFmt numFmtId="175" formatCode="_-* #,##0.00\ _L_a_r_i_-;\-* #,##0.00\ _L_a_r_i_-;_-* &quot;-&quot;??\ _L_a_r_i_-;_-@_-"/>
    <numFmt numFmtId="176" formatCode="_([$$-409]* #,##0.000_);_([$$-409]* \(#,##0.000\);_([$$-409]* &quot;-&quot;??_);_(@_)"/>
    <numFmt numFmtId="177" formatCode="_(* #,##0_);_(* \(#,##0\);_(* &quot;-&quot;??_);_(@_)"/>
    <numFmt numFmtId="178" formatCode="_-[$$-409]* #,##0.00_ ;_-[$$-409]* \-#,##0.00\ ;_-[$$-409]* &quot;-&quot;??_ ;_-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sz val="10"/>
      <name val="Arial Cyr"/>
      <family val="2"/>
    </font>
    <font>
      <u val="single"/>
      <sz val="11"/>
      <color theme="10"/>
      <name val="Calibri"/>
      <family val="2"/>
    </font>
    <font>
      <b/>
      <sz val="12"/>
      <name val="Sylfaen"/>
      <family val="1"/>
    </font>
    <font>
      <sz val="8"/>
      <name val="Sylfaen"/>
      <family val="1"/>
    </font>
    <font>
      <sz val="11"/>
      <name val="Sylfaen"/>
      <family val="1"/>
    </font>
    <font>
      <b/>
      <sz val="8"/>
      <name val="Sylfaen"/>
      <family val="1"/>
    </font>
    <font>
      <sz val="12"/>
      <name val="Sylfaen"/>
      <family val="1"/>
    </font>
    <font>
      <b/>
      <sz val="14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sz val="16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b/>
      <sz val="18"/>
      <color theme="1"/>
      <name val="Sylfaen"/>
      <family val="1"/>
    </font>
    <font>
      <b/>
      <sz val="11"/>
      <color rgb="FFFF0000"/>
      <name val="Sylfaen"/>
      <family val="1"/>
    </font>
    <font>
      <sz val="11"/>
      <color theme="3" tint="0.39998000860214233"/>
      <name val="Sylfaen"/>
      <family val="1"/>
    </font>
    <font>
      <b/>
      <sz val="12"/>
      <color theme="3" tint="0.39998000860214233"/>
      <name val="Sylfaen"/>
      <family val="1"/>
    </font>
    <font>
      <sz val="11"/>
      <color rgb="FFFF0000"/>
      <name val="Sylfaen"/>
      <family val="1"/>
    </font>
    <font>
      <i/>
      <sz val="11"/>
      <color rgb="FFFF0000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208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/>
      <protection/>
    </xf>
    <xf numFmtId="175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>
      <alignment/>
      <protection/>
    </xf>
    <xf numFmtId="167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" fillId="0" borderId="0">
      <alignment/>
      <protection/>
    </xf>
    <xf numFmtId="175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0" fillId="0" borderId="0">
      <alignment/>
      <protection/>
    </xf>
    <xf numFmtId="175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0" applyFont="0" applyFill="0" applyBorder="0" applyAlignment="0" applyProtection="0"/>
    <xf numFmtId="0" fontId="0" fillId="0" borderId="0">
      <alignment/>
      <protection/>
    </xf>
    <xf numFmtId="168" fontId="8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8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5">
    <xf numFmtId="170" fontId="0" fillId="0" borderId="0" xfId="0"/>
    <xf numFmtId="170" fontId="2" fillId="2" borderId="0" xfId="0" applyFont="1" applyFill="1" applyAlignment="1">
      <alignment vertical="center" wrapText="1"/>
    </xf>
    <xf numFmtId="170" fontId="3" fillId="2" borderId="0" xfId="0" applyFont="1" applyFill="1" applyBorder="1" applyAlignment="1">
      <alignment horizontal="right" vertical="center" wrapText="1"/>
    </xf>
    <xf numFmtId="170" fontId="3" fillId="2" borderId="0" xfId="0" applyFont="1" applyFill="1" applyBorder="1" applyAlignment="1">
      <alignment vertical="center" wrapText="1"/>
    </xf>
    <xf numFmtId="170" fontId="3" fillId="2" borderId="0" xfId="0" applyFont="1" applyFill="1" applyAlignment="1">
      <alignment vertical="center"/>
    </xf>
    <xf numFmtId="170" fontId="4" fillId="2" borderId="0" xfId="0" applyFont="1" applyFill="1" applyBorder="1" applyAlignment="1">
      <alignment horizontal="right" vertical="center" wrapText="1"/>
    </xf>
    <xf numFmtId="165" fontId="3" fillId="2" borderId="0" xfId="20" applyFont="1" applyFill="1" applyAlignment="1">
      <alignment vertical="center"/>
    </xf>
    <xf numFmtId="170" fontId="3" fillId="2" borderId="1" xfId="0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165" fontId="2" fillId="2" borderId="0" xfId="20" applyFont="1" applyFill="1" applyAlignment="1">
      <alignment vertical="center" wrapText="1"/>
    </xf>
    <xf numFmtId="0" fontId="3" fillId="2" borderId="0" xfId="139" applyFont="1" applyFill="1" applyAlignment="1">
      <alignment vertical="center"/>
      <protection/>
    </xf>
    <xf numFmtId="0" fontId="3" fillId="2" borderId="2" xfId="139" applyFont="1" applyFill="1" applyBorder="1" applyAlignment="1">
      <alignment vertical="center"/>
      <protection/>
    </xf>
    <xf numFmtId="0" fontId="14" fillId="2" borderId="0" xfId="139" applyFont="1" applyFill="1" applyAlignment="1">
      <alignment vertical="center"/>
      <protection/>
    </xf>
    <xf numFmtId="165" fontId="13" fillId="2" borderId="0" xfId="20" applyFont="1" applyFill="1" applyAlignment="1">
      <alignment vertical="center"/>
    </xf>
    <xf numFmtId="164" fontId="14" fillId="2" borderId="3" xfId="21" applyFont="1" applyFill="1" applyBorder="1" applyAlignment="1" applyProtection="1">
      <alignment horizontal="center" vertical="center" wrapText="1"/>
      <protection locked="0"/>
    </xf>
    <xf numFmtId="0" fontId="14" fillId="2" borderId="0" xfId="139" applyFont="1" applyFill="1" applyAlignment="1">
      <alignment horizontal="left" vertical="center"/>
      <protection/>
    </xf>
    <xf numFmtId="170" fontId="19" fillId="0" borderId="0" xfId="0" applyFont="1" applyAlignment="1">
      <alignment vertical="center"/>
    </xf>
    <xf numFmtId="0" fontId="18" fillId="2" borderId="0" xfId="139" applyFont="1" applyFill="1" applyAlignment="1">
      <alignment vertical="center" wrapText="1"/>
      <protection/>
    </xf>
    <xf numFmtId="0" fontId="14" fillId="2" borderId="4" xfId="139" applyFont="1" applyFill="1" applyBorder="1" applyAlignment="1">
      <alignment vertical="center" wrapText="1"/>
      <protection/>
    </xf>
    <xf numFmtId="0" fontId="14" fillId="2" borderId="0" xfId="139" applyFont="1" applyFill="1" applyAlignment="1">
      <alignment horizontal="center" vertical="center" wrapText="1"/>
      <protection/>
    </xf>
    <xf numFmtId="0" fontId="18" fillId="2" borderId="0" xfId="139" applyFont="1" applyFill="1" applyAlignment="1">
      <alignment horizontal="center" vertical="center" wrapText="1"/>
      <protection/>
    </xf>
    <xf numFmtId="0" fontId="14" fillId="2" borderId="5" xfId="139" applyFont="1" applyFill="1" applyBorder="1" applyAlignment="1">
      <alignment horizontal="center" vertical="center" wrapText="1"/>
      <protection/>
    </xf>
    <xf numFmtId="0" fontId="14" fillId="2" borderId="3" xfId="139" applyFont="1" applyFill="1" applyBorder="1" applyAlignment="1">
      <alignment horizontal="center" vertical="center" wrapText="1"/>
      <protection/>
    </xf>
    <xf numFmtId="165" fontId="14" fillId="2" borderId="6" xfId="20" applyFont="1" applyFill="1" applyBorder="1" applyAlignment="1">
      <alignment horizontal="center" vertical="center" wrapText="1"/>
    </xf>
    <xf numFmtId="0" fontId="14" fillId="2" borderId="0" xfId="139" applyFont="1" applyFill="1" applyAlignment="1">
      <alignment vertical="center" wrapText="1"/>
      <protection/>
    </xf>
    <xf numFmtId="0" fontId="18" fillId="2" borderId="0" xfId="139" applyFont="1" applyFill="1" applyAlignment="1">
      <alignment horizontal="left" vertical="center" wrapText="1"/>
      <protection/>
    </xf>
    <xf numFmtId="164" fontId="14" fillId="2" borderId="3" xfId="21" applyFont="1" applyFill="1" applyBorder="1" applyAlignment="1">
      <alignment horizontal="right" vertical="center" wrapText="1"/>
    </xf>
    <xf numFmtId="167" fontId="18" fillId="2" borderId="7" xfId="139" applyNumberFormat="1" applyFont="1" applyFill="1" applyBorder="1" applyAlignment="1">
      <alignment horizontal="right" vertical="center" wrapText="1"/>
      <protection/>
    </xf>
    <xf numFmtId="174" fontId="14" fillId="2" borderId="6" xfId="20" applyNumberFormat="1" applyFont="1" applyFill="1" applyBorder="1" applyAlignment="1">
      <alignment horizontal="right" vertical="center" wrapText="1"/>
    </xf>
    <xf numFmtId="0" fontId="14" fillId="2" borderId="8" xfId="139" applyFont="1" applyFill="1" applyBorder="1" applyAlignment="1">
      <alignment vertical="center" wrapText="1"/>
      <protection/>
    </xf>
    <xf numFmtId="165" fontId="14" fillId="2" borderId="0" xfId="20" applyFont="1" applyFill="1" applyBorder="1" applyAlignment="1">
      <alignment vertical="center" wrapText="1"/>
    </xf>
    <xf numFmtId="165" fontId="14" fillId="2" borderId="0" xfId="20" applyFont="1" applyFill="1" applyAlignment="1">
      <alignment vertical="center"/>
    </xf>
    <xf numFmtId="170" fontId="13" fillId="2" borderId="0" xfId="0" applyFont="1" applyFill="1" applyAlignment="1">
      <alignment vertical="center" wrapText="1"/>
    </xf>
    <xf numFmtId="170" fontId="13" fillId="2" borderId="0" xfId="0" applyFont="1" applyFill="1" applyAlignment="1">
      <alignment horizontal="center" vertical="center" wrapText="1"/>
    </xf>
    <xf numFmtId="170" fontId="15" fillId="2" borderId="0" xfId="0" applyFont="1" applyFill="1" applyAlignment="1">
      <alignment vertical="center" wrapText="1"/>
    </xf>
    <xf numFmtId="170" fontId="13" fillId="2" borderId="0" xfId="0" applyFont="1" applyFill="1" applyAlignment="1">
      <alignment vertical="center"/>
    </xf>
    <xf numFmtId="170" fontId="13" fillId="2" borderId="0" xfId="0" applyFont="1" applyFill="1" applyBorder="1" applyAlignment="1">
      <alignment vertical="center" wrapText="1"/>
    </xf>
    <xf numFmtId="170" fontId="13" fillId="2" borderId="0" xfId="0" applyFont="1" applyFill="1" applyAlignment="1">
      <alignment horizontal="left" vertical="center"/>
    </xf>
    <xf numFmtId="170" fontId="13" fillId="2" borderId="0" xfId="0" applyFont="1" applyFill="1" applyBorder="1" applyAlignment="1">
      <alignment horizontal="right" vertical="center" wrapText="1"/>
    </xf>
    <xf numFmtId="170" fontId="14" fillId="2" borderId="0" xfId="0" applyFont="1" applyFill="1" applyBorder="1" applyAlignment="1">
      <alignment horizontal="right" vertical="center" wrapText="1"/>
    </xf>
    <xf numFmtId="170" fontId="18" fillId="2" borderId="0" xfId="0" applyFont="1" applyFill="1" applyAlignment="1">
      <alignment vertical="center" wrapText="1"/>
    </xf>
    <xf numFmtId="170" fontId="17" fillId="2" borderId="0" xfId="0" applyFont="1" applyFill="1" applyAlignment="1">
      <alignment vertical="center" wrapText="1"/>
    </xf>
    <xf numFmtId="170" fontId="14" fillId="2" borderId="0" xfId="0" applyFont="1" applyFill="1" applyAlignment="1">
      <alignment vertical="center" wrapText="1"/>
    </xf>
    <xf numFmtId="170" fontId="14" fillId="2" borderId="0" xfId="0" applyFont="1" applyFill="1" applyBorder="1" applyAlignment="1">
      <alignment vertical="center" wrapText="1"/>
    </xf>
    <xf numFmtId="170" fontId="14" fillId="2" borderId="0" xfId="0" applyFont="1" applyFill="1" applyAlignment="1">
      <alignment vertical="center"/>
    </xf>
    <xf numFmtId="170" fontId="18" fillId="2" borderId="0" xfId="0" applyFont="1" applyFill="1" applyAlignment="1">
      <alignment horizontal="center" vertical="center" wrapText="1"/>
    </xf>
    <xf numFmtId="170" fontId="14" fillId="2" borderId="0" xfId="0" applyFont="1" applyFill="1" applyAlignment="1">
      <alignment horizontal="left" vertical="center"/>
    </xf>
    <xf numFmtId="170" fontId="18" fillId="2" borderId="9" xfId="0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165" fontId="18" fillId="2" borderId="3" xfId="20" applyFont="1" applyFill="1" applyBorder="1" applyAlignment="1">
      <alignment horizontal="center" vertical="center" wrapText="1"/>
    </xf>
    <xf numFmtId="165" fontId="14" fillId="2" borderId="3" xfId="20" applyFont="1" applyFill="1" applyBorder="1" applyAlignment="1">
      <alignment horizontal="center" vertical="center" wrapText="1"/>
    </xf>
    <xf numFmtId="164" fontId="18" fillId="2" borderId="3" xfId="21" applyFont="1" applyFill="1" applyBorder="1" applyAlignment="1">
      <alignment horizontal="right" vertical="center" wrapText="1"/>
    </xf>
    <xf numFmtId="0" fontId="18" fillId="2" borderId="3" xfId="0" applyNumberFormat="1" applyFont="1" applyFill="1" applyBorder="1" applyAlignment="1">
      <alignment horizontal="center" vertical="center" wrapText="1"/>
    </xf>
    <xf numFmtId="17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169" fontId="14" fillId="2" borderId="3" xfId="20" applyNumberFormat="1" applyFont="1" applyFill="1" applyBorder="1" applyAlignment="1">
      <alignment horizontal="center" vertical="center" wrapText="1"/>
    </xf>
    <xf numFmtId="170" fontId="14" fillId="2" borderId="0" xfId="0" applyFont="1" applyFill="1" applyAlignment="1">
      <alignment horizontal="center" vertical="center" wrapText="1"/>
    </xf>
    <xf numFmtId="165" fontId="14" fillId="2" borderId="8" xfId="20" applyFont="1" applyFill="1" applyBorder="1" applyAlignment="1">
      <alignment horizontal="center" vertical="center" wrapText="1"/>
    </xf>
    <xf numFmtId="165" fontId="18" fillId="2" borderId="8" xfId="0" applyNumberFormat="1" applyFont="1" applyFill="1" applyBorder="1" applyAlignment="1">
      <alignment vertical="center" wrapText="1"/>
    </xf>
    <xf numFmtId="165" fontId="18" fillId="3" borderId="13" xfId="20" applyFont="1" applyFill="1" applyBorder="1" applyAlignment="1">
      <alignment vertical="center" wrapText="1"/>
    </xf>
    <xf numFmtId="165" fontId="18" fillId="3" borderId="14" xfId="20" applyFont="1" applyFill="1" applyBorder="1" applyAlignment="1">
      <alignment horizontal="right" vertical="center" wrapText="1"/>
    </xf>
    <xf numFmtId="165" fontId="18" fillId="3" borderId="14" xfId="20" applyFont="1" applyFill="1" applyBorder="1" applyAlignment="1">
      <alignment vertical="center" wrapText="1"/>
    </xf>
    <xf numFmtId="170" fontId="14" fillId="2" borderId="1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right" vertical="center" wrapText="1"/>
    </xf>
    <xf numFmtId="170" fontId="18" fillId="2" borderId="0" xfId="0" applyFont="1" applyFill="1" applyBorder="1" applyAlignment="1">
      <alignment horizontal="right" vertical="center" wrapText="1"/>
    </xf>
    <xf numFmtId="170" fontId="14" fillId="2" borderId="15" xfId="0" applyFont="1" applyFill="1" applyBorder="1" applyAlignment="1">
      <alignment horizontal="right" vertical="center" wrapText="1"/>
    </xf>
    <xf numFmtId="10" fontId="18" fillId="2" borderId="15" xfId="0" applyNumberFormat="1" applyFont="1" applyFill="1" applyBorder="1" applyAlignment="1">
      <alignment horizontal="right" vertical="center" wrapText="1"/>
    </xf>
    <xf numFmtId="164" fontId="14" fillId="2" borderId="16" xfId="21" applyFont="1" applyFill="1" applyBorder="1" applyAlignment="1">
      <alignment horizontal="right" vertical="center" wrapText="1"/>
    </xf>
    <xf numFmtId="165" fontId="14" fillId="2" borderId="0" xfId="0" applyNumberFormat="1" applyFont="1" applyFill="1" applyBorder="1" applyAlignment="1">
      <alignment horizontal="right" vertical="center" wrapText="1"/>
    </xf>
    <xf numFmtId="173" fontId="18" fillId="2" borderId="0" xfId="0" applyNumberFormat="1" applyFont="1" applyFill="1" applyBorder="1" applyAlignment="1">
      <alignment horizontal="right" vertical="center" wrapText="1"/>
    </xf>
    <xf numFmtId="170" fontId="14" fillId="2" borderId="17" xfId="0" applyFont="1" applyFill="1" applyBorder="1" applyAlignment="1">
      <alignment horizontal="right" vertical="center" wrapText="1"/>
    </xf>
    <xf numFmtId="2" fontId="14" fillId="2" borderId="17" xfId="0" applyNumberFormat="1" applyFont="1" applyFill="1" applyBorder="1" applyAlignment="1">
      <alignment horizontal="right" vertical="center" wrapText="1"/>
    </xf>
    <xf numFmtId="164" fontId="18" fillId="2" borderId="18" xfId="21" applyFont="1" applyFill="1" applyBorder="1" applyAlignment="1">
      <alignment horizontal="right" vertical="center" wrapText="1"/>
    </xf>
    <xf numFmtId="166" fontId="18" fillId="2" borderId="0" xfId="0" applyNumberFormat="1" applyFont="1" applyFill="1" applyBorder="1" applyAlignment="1">
      <alignment horizontal="right" vertical="center" wrapText="1"/>
    </xf>
    <xf numFmtId="170" fontId="14" fillId="2" borderId="17" xfId="0" applyNumberFormat="1" applyFont="1" applyFill="1" applyBorder="1" applyAlignment="1">
      <alignment horizontal="right" vertical="center" wrapText="1"/>
    </xf>
    <xf numFmtId="9" fontId="18" fillId="2" borderId="15" xfId="0" applyNumberFormat="1" applyFont="1" applyFill="1" applyBorder="1" applyAlignment="1">
      <alignment horizontal="right" vertical="center" wrapText="1"/>
    </xf>
    <xf numFmtId="10" fontId="14" fillId="2" borderId="17" xfId="0" applyNumberFormat="1" applyFont="1" applyFill="1" applyBorder="1" applyAlignment="1">
      <alignment horizontal="right" vertical="center" wrapText="1"/>
    </xf>
    <xf numFmtId="165" fontId="14" fillId="2" borderId="0" xfId="20" applyFont="1" applyFill="1" applyBorder="1" applyAlignment="1">
      <alignment horizontal="right" vertical="center" wrapText="1"/>
    </xf>
    <xf numFmtId="170" fontId="14" fillId="2" borderId="0" xfId="0" applyFont="1" applyFill="1" applyBorder="1" applyAlignment="1">
      <alignment horizontal="center" vertical="center" wrapText="1"/>
    </xf>
    <xf numFmtId="170" fontId="18" fillId="2" borderId="0" xfId="0" applyFont="1" applyFill="1" applyBorder="1" applyAlignment="1">
      <alignment vertical="center" wrapText="1"/>
    </xf>
    <xf numFmtId="165" fontId="14" fillId="2" borderId="0" xfId="0" applyNumberFormat="1" applyFont="1" applyFill="1" applyAlignment="1">
      <alignment vertical="center"/>
    </xf>
    <xf numFmtId="165" fontId="14" fillId="2" borderId="0" xfId="20" applyFont="1" applyFill="1" applyAlignment="1">
      <alignment vertical="center" wrapText="1"/>
    </xf>
    <xf numFmtId="170" fontId="14" fillId="2" borderId="3" xfId="0" applyFont="1" applyFill="1" applyBorder="1" applyAlignment="1">
      <alignment horizontal="center" vertical="center" wrapText="1"/>
    </xf>
    <xf numFmtId="167" fontId="18" fillId="2" borderId="3" xfId="0" applyNumberFormat="1" applyFont="1" applyFill="1" applyBorder="1" applyAlignment="1">
      <alignment horizontal="right" vertical="center" wrapText="1"/>
    </xf>
    <xf numFmtId="169" fontId="14" fillId="2" borderId="3" xfId="20" applyNumberFormat="1" applyFont="1" applyFill="1" applyBorder="1" applyAlignment="1">
      <alignment horizontal="right" vertical="center" wrapText="1"/>
    </xf>
    <xf numFmtId="170" fontId="18" fillId="2" borderId="0" xfId="0" applyFont="1" applyFill="1" applyAlignment="1">
      <alignment horizontal="left" vertical="center" wrapText="1"/>
    </xf>
    <xf numFmtId="168" fontId="18" fillId="4" borderId="3" xfId="0" applyNumberFormat="1" applyFont="1" applyFill="1" applyBorder="1" applyAlignment="1">
      <alignment horizontal="left" vertical="center" wrapText="1"/>
    </xf>
    <xf numFmtId="165" fontId="18" fillId="4" borderId="3" xfId="20" applyFont="1" applyFill="1" applyBorder="1" applyAlignment="1">
      <alignment horizontal="center" vertical="center" wrapText="1"/>
    </xf>
    <xf numFmtId="164" fontId="14" fillId="2" borderId="3" xfId="21" applyFont="1" applyFill="1" applyBorder="1" applyAlignment="1">
      <alignment horizontal="center" vertical="center" wrapText="1"/>
    </xf>
    <xf numFmtId="167" fontId="18" fillId="2" borderId="3" xfId="0" applyNumberFormat="1" applyFont="1" applyFill="1" applyBorder="1" applyAlignment="1">
      <alignment horizontal="center" vertical="center" wrapText="1"/>
    </xf>
    <xf numFmtId="169" fontId="14" fillId="2" borderId="3" xfId="20" applyNumberFormat="1" applyFont="1" applyFill="1" applyBorder="1" applyAlignment="1">
      <alignment vertical="center" wrapText="1"/>
    </xf>
    <xf numFmtId="170" fontId="14" fillId="2" borderId="0" xfId="0" applyFont="1" applyFill="1" applyAlignment="1">
      <alignment horizontal="right"/>
    </xf>
    <xf numFmtId="2" fontId="14" fillId="2" borderId="3" xfId="0" applyNumberFormat="1" applyFont="1" applyFill="1" applyBorder="1" applyAlignment="1">
      <alignment horizontal="left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 wrapText="1"/>
    </xf>
    <xf numFmtId="165" fontId="18" fillId="3" borderId="19" xfId="20" applyFont="1" applyFill="1" applyBorder="1" applyAlignment="1">
      <alignment horizontal="right" vertical="center" wrapText="1"/>
    </xf>
    <xf numFmtId="170" fontId="22" fillId="2" borderId="0" xfId="0" applyFont="1" applyFill="1" applyAlignment="1">
      <alignment horizontal="center" vertical="center" wrapText="1"/>
    </xf>
    <xf numFmtId="9" fontId="18" fillId="2" borderId="15" xfId="0" applyNumberFormat="1" applyFont="1" applyFill="1" applyBorder="1" applyAlignment="1">
      <alignment horizontal="center" vertical="center" wrapText="1"/>
    </xf>
    <xf numFmtId="2" fontId="14" fillId="2" borderId="17" xfId="0" applyNumberFormat="1" applyFont="1" applyFill="1" applyBorder="1" applyAlignment="1">
      <alignment horizontal="center" vertical="center" wrapText="1"/>
    </xf>
    <xf numFmtId="170" fontId="14" fillId="2" borderId="17" xfId="0" applyNumberFormat="1" applyFont="1" applyFill="1" applyBorder="1" applyAlignment="1">
      <alignment horizontal="center" vertical="center" wrapText="1"/>
    </xf>
    <xf numFmtId="10" fontId="14" fillId="2" borderId="17" xfId="0" applyNumberFormat="1" applyFont="1" applyFill="1" applyBorder="1" applyAlignment="1">
      <alignment horizontal="center" vertical="center" wrapText="1"/>
    </xf>
    <xf numFmtId="9" fontId="14" fillId="2" borderId="17" xfId="0" applyNumberFormat="1" applyFont="1" applyFill="1" applyBorder="1" applyAlignment="1">
      <alignment horizontal="center" vertical="center" wrapText="1"/>
    </xf>
    <xf numFmtId="49" fontId="21" fillId="2" borderId="20" xfId="0" applyNumberFormat="1" applyFont="1" applyFill="1" applyBorder="1" applyAlignment="1">
      <alignment horizontal="center" vertical="center" wrapText="1"/>
    </xf>
    <xf numFmtId="170" fontId="22" fillId="2" borderId="0" xfId="0" applyFont="1" applyFill="1" applyAlignment="1">
      <alignment vertical="center" wrapText="1"/>
    </xf>
    <xf numFmtId="170" fontId="22" fillId="2" borderId="0" xfId="0" applyFont="1" applyFill="1" applyAlignment="1">
      <alignment horizontal="right" vertical="center" wrapText="1"/>
    </xf>
    <xf numFmtId="170" fontId="17" fillId="2" borderId="0" xfId="0" applyFont="1" applyFill="1" applyAlignment="1">
      <alignment horizontal="left" vertical="center" wrapText="1"/>
    </xf>
    <xf numFmtId="170" fontId="17" fillId="2" borderId="0" xfId="0" applyFont="1" applyFill="1" applyAlignment="1">
      <alignment horizontal="right" vertical="top" wrapText="1"/>
    </xf>
    <xf numFmtId="171" fontId="14" fillId="2" borderId="0" xfId="20" applyNumberFormat="1" applyFont="1" applyFill="1" applyAlignment="1">
      <alignment vertical="center"/>
    </xf>
    <xf numFmtId="49" fontId="21" fillId="2" borderId="21" xfId="0" applyNumberFormat="1" applyFont="1" applyFill="1" applyBorder="1" applyAlignment="1">
      <alignment horizontal="center" vertical="center" wrapText="1"/>
    </xf>
    <xf numFmtId="49" fontId="21" fillId="2" borderId="22" xfId="0" applyNumberFormat="1" applyFont="1" applyFill="1" applyBorder="1" applyAlignment="1">
      <alignment horizontal="center" vertical="center" wrapText="1"/>
    </xf>
    <xf numFmtId="169" fontId="14" fillId="2" borderId="5" xfId="20" applyNumberFormat="1" applyFont="1" applyFill="1" applyBorder="1" applyAlignment="1">
      <alignment horizontal="right" vertical="center" wrapText="1"/>
    </xf>
    <xf numFmtId="49" fontId="21" fillId="2" borderId="23" xfId="0" applyNumberFormat="1" applyFont="1" applyFill="1" applyBorder="1" applyAlignment="1">
      <alignment horizontal="center" vertical="center" wrapText="1"/>
    </xf>
    <xf numFmtId="168" fontId="18" fillId="3" borderId="3" xfId="0" applyNumberFormat="1" applyFont="1" applyFill="1" applyBorder="1" applyAlignment="1">
      <alignment horizontal="left" vertical="center" wrapText="1"/>
    </xf>
    <xf numFmtId="165" fontId="18" fillId="3" borderId="3" xfId="20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right" vertical="center" wrapText="1"/>
    </xf>
    <xf numFmtId="176" fontId="14" fillId="2" borderId="0" xfId="0" applyNumberFormat="1" applyFont="1" applyFill="1" applyBorder="1" applyAlignment="1">
      <alignment horizontal="right" vertical="center" wrapText="1"/>
    </xf>
    <xf numFmtId="0" fontId="14" fillId="2" borderId="0" xfId="0" applyNumberFormat="1" applyFont="1" applyFill="1" applyAlignment="1">
      <alignment vertical="center"/>
    </xf>
    <xf numFmtId="0" fontId="18" fillId="2" borderId="0" xfId="139" applyFont="1" applyFill="1" applyAlignment="1">
      <alignment horizontal="center" vertical="center" wrapText="1"/>
      <protection/>
    </xf>
    <xf numFmtId="0" fontId="17" fillId="2" borderId="0" xfId="139" applyFont="1" applyFill="1" applyAlignment="1">
      <alignment horizontal="left" vertical="center" wrapText="1"/>
      <protection/>
    </xf>
    <xf numFmtId="0" fontId="3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33" fillId="4" borderId="3" xfId="176" applyFont="1" applyFill="1" applyBorder="1" applyAlignment="1" applyProtection="1">
      <alignment horizontal="center" vertical="center" wrapText="1"/>
      <protection locked="0"/>
    </xf>
    <xf numFmtId="0" fontId="32" fillId="2" borderId="0" xfId="139" applyFont="1" applyFill="1" applyAlignment="1">
      <alignment vertical="center"/>
      <protection/>
    </xf>
    <xf numFmtId="165" fontId="32" fillId="2" borderId="0" xfId="20" applyFont="1" applyFill="1" applyAlignment="1">
      <alignment vertical="center"/>
    </xf>
    <xf numFmtId="0" fontId="1" fillId="2" borderId="0" xfId="139" applyFont="1" applyFill="1" applyAlignment="1">
      <alignment vertical="center"/>
      <protection/>
    </xf>
    <xf numFmtId="1" fontId="33" fillId="0" borderId="3" xfId="0" applyNumberFormat="1" applyFont="1" applyBorder="1" applyAlignment="1" applyProtection="1">
      <alignment horizontal="center" vertical="center"/>
      <protection locked="0"/>
    </xf>
    <xf numFmtId="49" fontId="32" fillId="0" borderId="3" xfId="0" applyNumberFormat="1" applyFont="1" applyBorder="1" applyAlignment="1" applyProtection="1">
      <alignment horizontal="center" vertical="center" wrapText="1"/>
      <protection locked="0"/>
    </xf>
    <xf numFmtId="0" fontId="32" fillId="0" borderId="3" xfId="0" applyNumberFormat="1" applyFont="1" applyBorder="1" applyAlignment="1" applyProtection="1">
      <alignment horizontal="center" vertical="center" wrapText="1"/>
      <protection locked="0"/>
    </xf>
    <xf numFmtId="0" fontId="32" fillId="2" borderId="0" xfId="139" applyFont="1" applyFill="1" applyAlignment="1">
      <alignment horizontal="center" vertical="center"/>
      <protection/>
    </xf>
    <xf numFmtId="165" fontId="32" fillId="2" borderId="0" xfId="20" applyFont="1" applyFill="1" applyAlignment="1">
      <alignment horizontal="center" vertical="center"/>
    </xf>
    <xf numFmtId="0" fontId="1" fillId="2" borderId="0" xfId="139" applyFont="1" applyFill="1" applyAlignment="1">
      <alignment horizontal="center" vertical="center"/>
      <protection/>
    </xf>
    <xf numFmtId="14" fontId="32" fillId="2" borderId="0" xfId="139" applyNumberFormat="1" applyFont="1" applyFill="1" applyAlignment="1">
      <alignment horizontal="center" vertical="center"/>
      <protection/>
    </xf>
    <xf numFmtId="14" fontId="32" fillId="2" borderId="0" xfId="20" applyNumberFormat="1" applyFont="1" applyFill="1" applyAlignment="1">
      <alignment horizontal="center" vertical="center"/>
    </xf>
    <xf numFmtId="0" fontId="33" fillId="0" borderId="3" xfId="0" applyNumberFormat="1" applyFont="1" applyBorder="1" applyAlignment="1" applyProtection="1">
      <alignment horizontal="center" vertical="center" wrapText="1"/>
      <protection/>
    </xf>
    <xf numFmtId="165" fontId="32" fillId="0" borderId="3" xfId="20" applyFont="1" applyBorder="1" applyAlignment="1" applyProtection="1">
      <alignment horizontal="center" vertical="center" wrapText="1"/>
      <protection locked="0"/>
    </xf>
    <xf numFmtId="165" fontId="32" fillId="2" borderId="3" xfId="20" applyFont="1" applyFill="1" applyBorder="1" applyAlignment="1" applyProtection="1">
      <alignment horizontal="center" vertical="center" wrapText="1"/>
      <protection locked="0"/>
    </xf>
    <xf numFmtId="165" fontId="33" fillId="0" borderId="3" xfId="20" applyFont="1" applyBorder="1" applyAlignment="1" applyProtection="1">
      <alignment horizontal="center" vertical="center" wrapText="1"/>
      <protection/>
    </xf>
    <xf numFmtId="170" fontId="32" fillId="2" borderId="3" xfId="20" applyNumberFormat="1" applyFont="1" applyFill="1" applyBorder="1" applyAlignment="1" applyProtection="1">
      <alignment horizontal="center" vertical="center" wrapText="1"/>
      <protection locked="0"/>
    </xf>
    <xf numFmtId="170" fontId="33" fillId="0" borderId="3" xfId="20" applyNumberFormat="1" applyFont="1" applyBorder="1" applyAlignment="1" applyProtection="1">
      <alignment horizontal="center" vertical="center" wrapText="1"/>
      <protection/>
    </xf>
    <xf numFmtId="165" fontId="14" fillId="5" borderId="3" xfId="20" applyFont="1" applyFill="1" applyBorder="1" applyAlignment="1">
      <alignment horizontal="center" vertical="center" wrapText="1"/>
    </xf>
    <xf numFmtId="170" fontId="26" fillId="2" borderId="0" xfId="0" applyFont="1" applyFill="1" applyProtection="1">
      <protection locked="0"/>
    </xf>
    <xf numFmtId="170" fontId="14" fillId="0" borderId="0" xfId="0" applyFont="1" applyProtection="1">
      <protection locked="0"/>
    </xf>
    <xf numFmtId="170" fontId="5" fillId="0" borderId="0" xfId="0" applyFont="1" applyProtection="1">
      <protection locked="0"/>
    </xf>
    <xf numFmtId="170" fontId="25" fillId="2" borderId="0" xfId="0" applyFont="1" applyFill="1" applyProtection="1">
      <protection locked="0"/>
    </xf>
    <xf numFmtId="170" fontId="17" fillId="0" borderId="0" xfId="0" applyFont="1" applyProtection="1">
      <protection locked="0"/>
    </xf>
    <xf numFmtId="170" fontId="18" fillId="0" borderId="0" xfId="0" applyFont="1" applyProtection="1">
      <protection locked="0"/>
    </xf>
    <xf numFmtId="170" fontId="14" fillId="0" borderId="13" xfId="0" applyFont="1" applyBorder="1" applyAlignment="1" applyProtection="1">
      <alignment horizontal="center"/>
      <protection locked="0"/>
    </xf>
    <xf numFmtId="172" fontId="18" fillId="0" borderId="24" xfId="0" applyNumberFormat="1" applyFont="1" applyBorder="1" applyAlignment="1" applyProtection="1">
      <alignment horizontal="center"/>
      <protection locked="0"/>
    </xf>
    <xf numFmtId="170" fontId="14" fillId="0" borderId="25" xfId="0" applyFont="1" applyBorder="1" applyProtection="1">
      <protection locked="0"/>
    </xf>
    <xf numFmtId="170" fontId="18" fillId="4" borderId="26" xfId="0" applyFont="1" applyFill="1" applyBorder="1" applyAlignment="1" applyProtection="1">
      <alignment horizontal="center" vertical="center" wrapText="1"/>
      <protection locked="0"/>
    </xf>
    <xf numFmtId="170" fontId="18" fillId="4" borderId="3" xfId="0" applyFont="1" applyFill="1" applyBorder="1" applyAlignment="1" applyProtection="1">
      <alignment horizontal="center" vertical="center" wrapText="1"/>
      <protection locked="0"/>
    </xf>
    <xf numFmtId="170" fontId="19" fillId="0" borderId="0" xfId="0" applyFont="1" applyProtection="1">
      <protection locked="0"/>
    </xf>
    <xf numFmtId="170" fontId="14" fillId="2" borderId="3" xfId="0" applyFont="1" applyFill="1" applyBorder="1" applyAlignment="1" applyProtection="1">
      <alignment horizontal="left" vertical="center" wrapText="1"/>
      <protection locked="0"/>
    </xf>
    <xf numFmtId="170" fontId="14" fillId="2" borderId="3" xfId="0" applyFont="1" applyFill="1" applyBorder="1" applyAlignment="1" applyProtection="1">
      <alignment vertical="center" wrapText="1"/>
      <protection locked="0"/>
    </xf>
    <xf numFmtId="164" fontId="14" fillId="0" borderId="3" xfId="21" applyFont="1" applyFill="1" applyBorder="1" applyAlignment="1" applyProtection="1">
      <alignment horizontal="center" vertical="center" wrapText="1"/>
      <protection locked="0"/>
    </xf>
    <xf numFmtId="164" fontId="14" fillId="2" borderId="3" xfId="21" applyFont="1" applyFill="1" applyBorder="1" applyAlignment="1" applyProtection="1">
      <alignment vertical="center"/>
      <protection locked="0"/>
    </xf>
    <xf numFmtId="164" fontId="19" fillId="0" borderId="3" xfId="21" applyFont="1" applyBorder="1" applyProtection="1">
      <protection locked="0"/>
    </xf>
    <xf numFmtId="170" fontId="31" fillId="0" borderId="0" xfId="0" applyFont="1" applyProtection="1">
      <protection locked="0"/>
    </xf>
    <xf numFmtId="170" fontId="14" fillId="2" borderId="23" xfId="0" applyFont="1" applyFill="1" applyBorder="1" applyAlignment="1" applyProtection="1">
      <alignment vertical="center" wrapText="1"/>
      <protection locked="0"/>
    </xf>
    <xf numFmtId="170" fontId="14" fillId="0" borderId="23" xfId="0" applyFont="1" applyBorder="1" applyProtection="1">
      <protection locked="0"/>
    </xf>
    <xf numFmtId="170" fontId="14" fillId="0" borderId="3" xfId="0" applyFont="1" applyBorder="1" applyProtection="1">
      <protection locked="0"/>
    </xf>
    <xf numFmtId="170" fontId="14" fillId="0" borderId="21" xfId="0" applyFont="1" applyBorder="1" applyProtection="1">
      <protection locked="0"/>
    </xf>
    <xf numFmtId="170" fontId="14" fillId="0" borderId="9" xfId="0" applyFont="1" applyBorder="1" applyProtection="1">
      <protection locked="0"/>
    </xf>
    <xf numFmtId="164" fontId="14" fillId="0" borderId="3" xfId="21" applyFont="1" applyBorder="1" applyProtection="1">
      <protection locked="0"/>
    </xf>
    <xf numFmtId="164" fontId="30" fillId="6" borderId="3" xfId="21" applyFont="1" applyFill="1" applyBorder="1" applyAlignment="1" applyProtection="1">
      <alignment horizontal="center" vertical="center" wrapText="1"/>
      <protection/>
    </xf>
    <xf numFmtId="170" fontId="19" fillId="2" borderId="0" xfId="0" applyFont="1" applyFill="1" applyProtection="1">
      <protection locked="0"/>
    </xf>
    <xf numFmtId="170" fontId="0" fillId="2" borderId="0" xfId="0" applyFill="1" applyProtection="1">
      <protection locked="0"/>
    </xf>
    <xf numFmtId="170" fontId="16" fillId="0" borderId="13" xfId="0" applyFont="1" applyBorder="1" applyAlignment="1" applyProtection="1">
      <alignment horizontal="center" vertical="center"/>
      <protection locked="0"/>
    </xf>
    <xf numFmtId="170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170" fontId="18" fillId="2" borderId="0" xfId="0" applyNumberFormat="1" applyFont="1" applyFill="1" applyBorder="1" applyAlignment="1" applyProtection="1">
      <alignment horizontal="center" vertical="center" wrapText="1"/>
      <protection locked="0"/>
    </xf>
    <xf numFmtId="170" fontId="1" fillId="2" borderId="0" xfId="0" applyNumberFormat="1" applyFont="1" applyFill="1" applyProtection="1">
      <protection locked="0"/>
    </xf>
    <xf numFmtId="3" fontId="14" fillId="7" borderId="3" xfId="0" applyNumberFormat="1" applyFont="1" applyFill="1" applyBorder="1" applyAlignment="1" applyProtection="1">
      <alignment horizontal="center" vertical="center"/>
      <protection locked="0"/>
    </xf>
    <xf numFmtId="3" fontId="14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3" xfId="0" applyNumberFormat="1" applyFont="1" applyFill="1" applyBorder="1" applyAlignment="1" applyProtection="1">
      <alignment horizontal="center" vertical="center"/>
      <protection locked="0"/>
    </xf>
    <xf numFmtId="170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167" fontId="28" fillId="2" borderId="3" xfId="21" applyNumberFormat="1" applyFont="1" applyFill="1" applyBorder="1" applyAlignment="1" applyProtection="1">
      <alignment horizontal="right" vertical="center" wrapText="1"/>
      <protection locked="0"/>
    </xf>
    <xf numFmtId="177" fontId="18" fillId="2" borderId="0" xfId="20" applyNumberFormat="1" applyFont="1" applyFill="1" applyBorder="1" applyAlignment="1" applyProtection="1">
      <alignment horizontal="center" vertical="center" wrapText="1"/>
      <protection locked="0"/>
    </xf>
    <xf numFmtId="49" fontId="14" fillId="2" borderId="3" xfId="0" applyNumberFormat="1" applyFont="1" applyFill="1" applyBorder="1" applyAlignment="1" applyProtection="1">
      <alignment horizontal="center" vertical="top" wrapText="1"/>
      <protection locked="0"/>
    </xf>
    <xf numFmtId="170" fontId="18" fillId="2" borderId="3" xfId="0" applyNumberFormat="1" applyFont="1" applyFill="1" applyBorder="1" applyAlignment="1" applyProtection="1">
      <alignment horizontal="left" vertical="center" wrapText="1"/>
      <protection locked="0"/>
    </xf>
    <xf numFmtId="167" fontId="29" fillId="2" borderId="3" xfId="21" applyNumberFormat="1" applyFont="1" applyFill="1" applyBorder="1" applyAlignment="1" applyProtection="1">
      <alignment horizontal="right" vertical="center" wrapText="1"/>
      <protection locked="0"/>
    </xf>
    <xf numFmtId="164" fontId="12" fillId="2" borderId="3" xfId="21" applyFont="1" applyFill="1" applyBorder="1" applyAlignment="1" applyProtection="1">
      <alignment horizontal="center" vertical="center" wrapText="1"/>
      <protection locked="0"/>
    </xf>
    <xf numFmtId="170" fontId="18" fillId="2" borderId="0" xfId="21" applyNumberFormat="1" applyFont="1" applyFill="1" applyBorder="1" applyAlignment="1" applyProtection="1">
      <alignment horizontal="right" vertical="center" wrapText="1"/>
      <protection locked="0"/>
    </xf>
    <xf numFmtId="170" fontId="23" fillId="4" borderId="3" xfId="0" applyFont="1" applyFill="1" applyBorder="1" applyAlignment="1" applyProtection="1">
      <alignment vertical="center"/>
      <protection locked="0"/>
    </xf>
    <xf numFmtId="170" fontId="24" fillId="4" borderId="3" xfId="0" applyFont="1" applyFill="1" applyBorder="1" applyAlignment="1" applyProtection="1">
      <alignment vertical="center"/>
      <protection locked="0"/>
    </xf>
    <xf numFmtId="170" fontId="19" fillId="2" borderId="0" xfId="0" applyFont="1" applyFill="1" applyAlignment="1" applyProtection="1">
      <alignment vertical="center"/>
      <protection locked="0"/>
    </xf>
    <xf numFmtId="170" fontId="0" fillId="2" borderId="0" xfId="0" applyFill="1" applyAlignment="1" applyProtection="1">
      <alignment vertical="center"/>
      <protection locked="0"/>
    </xf>
    <xf numFmtId="0" fontId="19" fillId="2" borderId="3" xfId="0" applyNumberFormat="1" applyFont="1" applyFill="1" applyBorder="1" applyAlignment="1" applyProtection="1">
      <alignment horizontal="center"/>
      <protection locked="0"/>
    </xf>
    <xf numFmtId="0" fontId="19" fillId="2" borderId="3" xfId="0" applyNumberFormat="1" applyFont="1" applyFill="1" applyBorder="1" applyAlignment="1" applyProtection="1">
      <alignment/>
      <protection locked="0"/>
    </xf>
    <xf numFmtId="170" fontId="19" fillId="2" borderId="3" xfId="0" applyFont="1" applyFill="1" applyBorder="1" applyProtection="1">
      <protection locked="0"/>
    </xf>
    <xf numFmtId="164" fontId="27" fillId="2" borderId="3" xfId="21" applyFont="1" applyFill="1" applyBorder="1" applyAlignment="1" applyProtection="1">
      <alignment horizontal="left"/>
      <protection locked="0"/>
    </xf>
    <xf numFmtId="170" fontId="19" fillId="2" borderId="3" xfId="0" applyFont="1" applyFill="1" applyBorder="1" applyAlignment="1" applyProtection="1">
      <alignment/>
      <protection locked="0"/>
    </xf>
    <xf numFmtId="9" fontId="19" fillId="2" borderId="3" xfId="207" applyFont="1" applyFill="1" applyBorder="1" applyAlignment="1" applyProtection="1">
      <alignment horizontal="center"/>
      <protection locked="0"/>
    </xf>
    <xf numFmtId="170" fontId="23" fillId="2" borderId="3" xfId="0" applyFont="1" applyFill="1" applyBorder="1" applyAlignment="1" applyProtection="1">
      <alignment/>
      <protection locked="0"/>
    </xf>
    <xf numFmtId="170" fontId="23" fillId="2" borderId="3" xfId="0" applyFont="1" applyFill="1" applyBorder="1" applyProtection="1">
      <protection locked="0"/>
    </xf>
    <xf numFmtId="164" fontId="30" fillId="6" borderId="3" xfId="21" applyFont="1" applyFill="1" applyBorder="1" applyAlignment="1" applyProtection="1">
      <alignment horizontal="left"/>
      <protection/>
    </xf>
    <xf numFmtId="165" fontId="19" fillId="2" borderId="3" xfId="21" applyNumberFormat="1" applyFont="1" applyFill="1" applyBorder="1" applyAlignment="1" applyProtection="1">
      <alignment horizontal="center"/>
      <protection/>
    </xf>
    <xf numFmtId="164" fontId="19" fillId="2" borderId="3" xfId="21" applyFont="1" applyFill="1" applyBorder="1" applyAlignment="1" applyProtection="1">
      <alignment horizontal="left"/>
      <protection/>
    </xf>
    <xf numFmtId="170" fontId="23" fillId="6" borderId="3" xfId="0" applyFont="1" applyFill="1" applyBorder="1" applyProtection="1">
      <protection locked="0"/>
    </xf>
    <xf numFmtId="172" fontId="12" fillId="6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3" xfId="0" applyNumberFormat="1" applyFont="1" applyBorder="1" applyAlignment="1" applyProtection="1">
      <alignment horizontal="center" vertical="center" wrapText="1"/>
      <protection locked="0"/>
    </xf>
    <xf numFmtId="170" fontId="33" fillId="4" borderId="3" xfId="0" applyFont="1" applyFill="1" applyBorder="1" applyAlignment="1">
      <alignment horizontal="center" vertical="center" wrapText="1"/>
    </xf>
    <xf numFmtId="0" fontId="33" fillId="0" borderId="3" xfId="0" applyNumberFormat="1" applyFont="1" applyBorder="1" applyAlignment="1" applyProtection="1">
      <alignment horizontal="left" vertical="center" wrapText="1"/>
      <protection/>
    </xf>
    <xf numFmtId="0" fontId="14" fillId="2" borderId="6" xfId="139" applyFont="1" applyFill="1" applyBorder="1" applyAlignment="1">
      <alignment horizontal="center" vertical="center" wrapText="1"/>
      <protection/>
    </xf>
    <xf numFmtId="0" fontId="14" fillId="2" borderId="20" xfId="139" applyFont="1" applyFill="1" applyBorder="1" applyAlignment="1">
      <alignment horizontal="center" vertical="center" wrapText="1"/>
      <protection/>
    </xf>
    <xf numFmtId="0" fontId="18" fillId="2" borderId="0" xfId="139" applyFont="1" applyFill="1" applyAlignment="1">
      <alignment horizontal="center" vertical="center" wrapText="1"/>
      <protection/>
    </xf>
    <xf numFmtId="0" fontId="17" fillId="2" borderId="0" xfId="139" applyFont="1" applyFill="1" applyAlignment="1">
      <alignment horizontal="left" vertical="center" wrapText="1"/>
      <protection/>
    </xf>
    <xf numFmtId="170" fontId="34" fillId="0" borderId="3" xfId="0" applyFont="1" applyBorder="1" applyAlignment="1">
      <alignment horizontal="center" vertical="center"/>
    </xf>
    <xf numFmtId="170" fontId="34" fillId="0" borderId="3" xfId="0" applyFont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170" fontId="18" fillId="2" borderId="27" xfId="0" applyFont="1" applyFill="1" applyBorder="1" applyAlignment="1">
      <alignment horizontal="center" vertical="center" wrapText="1"/>
    </xf>
    <xf numFmtId="170" fontId="18" fillId="2" borderId="28" xfId="0" applyFont="1" applyFill="1" applyBorder="1" applyAlignment="1">
      <alignment horizontal="center" vertical="center" wrapText="1"/>
    </xf>
    <xf numFmtId="2" fontId="14" fillId="2" borderId="29" xfId="0" applyNumberFormat="1" applyFont="1" applyFill="1" applyBorder="1" applyAlignment="1">
      <alignment horizontal="left" vertical="center"/>
    </xf>
    <xf numFmtId="2" fontId="14" fillId="2" borderId="15" xfId="0" applyNumberFormat="1" applyFont="1" applyFill="1" applyBorder="1" applyAlignment="1">
      <alignment horizontal="left" vertical="center"/>
    </xf>
    <xf numFmtId="2" fontId="18" fillId="2" borderId="30" xfId="0" applyNumberFormat="1" applyFont="1" applyFill="1" applyBorder="1" applyAlignment="1">
      <alignment horizontal="left" vertical="center"/>
    </xf>
    <xf numFmtId="2" fontId="18" fillId="2" borderId="17" xfId="0" applyNumberFormat="1" applyFont="1" applyFill="1" applyBorder="1" applyAlignment="1">
      <alignment horizontal="left" vertical="center"/>
    </xf>
    <xf numFmtId="2" fontId="18" fillId="2" borderId="29" xfId="0" applyNumberFormat="1" applyFont="1" applyFill="1" applyBorder="1" applyAlignment="1">
      <alignment horizontal="left" vertical="center"/>
    </xf>
    <xf numFmtId="2" fontId="18" fillId="2" borderId="15" xfId="0" applyNumberFormat="1" applyFont="1" applyFill="1" applyBorder="1" applyAlignment="1">
      <alignment horizontal="left" vertical="center"/>
    </xf>
    <xf numFmtId="2" fontId="14" fillId="2" borderId="30" xfId="0" applyNumberFormat="1" applyFont="1" applyFill="1" applyBorder="1" applyAlignment="1">
      <alignment horizontal="left" vertical="center"/>
    </xf>
    <xf numFmtId="2" fontId="14" fillId="2" borderId="17" xfId="0" applyNumberFormat="1" applyFont="1" applyFill="1" applyBorder="1" applyAlignment="1">
      <alignment horizontal="left" vertical="center"/>
    </xf>
    <xf numFmtId="170" fontId="14" fillId="2" borderId="6" xfId="0" applyFont="1" applyFill="1" applyBorder="1" applyAlignment="1">
      <alignment horizontal="center" vertical="center" wrapText="1"/>
    </xf>
    <xf numFmtId="170" fontId="14" fillId="2" borderId="20" xfId="0" applyFont="1" applyFill="1" applyBorder="1" applyAlignment="1">
      <alignment horizontal="center" vertical="center" wrapText="1"/>
    </xf>
    <xf numFmtId="170" fontId="14" fillId="2" borderId="5" xfId="0" applyFont="1" applyFill="1" applyBorder="1" applyAlignment="1">
      <alignment horizontal="center" vertical="center" wrapText="1"/>
    </xf>
    <xf numFmtId="170" fontId="15" fillId="2" borderId="0" xfId="0" applyFont="1" applyFill="1" applyAlignment="1">
      <alignment horizontal="left" vertical="center" wrapText="1"/>
    </xf>
    <xf numFmtId="1" fontId="18" fillId="2" borderId="31" xfId="0" applyNumberFormat="1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center" vertical="center" wrapText="1"/>
    </xf>
    <xf numFmtId="2" fontId="18" fillId="2" borderId="25" xfId="0" applyNumberFormat="1" applyFont="1" applyFill="1" applyBorder="1" applyAlignment="1">
      <alignment horizontal="center" vertical="center" wrapText="1"/>
    </xf>
    <xf numFmtId="2" fontId="18" fillId="2" borderId="32" xfId="0" applyNumberFormat="1" applyFont="1" applyFill="1" applyBorder="1" applyAlignment="1">
      <alignment horizontal="center" vertical="center" wrapText="1"/>
    </xf>
    <xf numFmtId="2" fontId="18" fillId="2" borderId="12" xfId="0" applyNumberFormat="1" applyFont="1" applyFill="1" applyBorder="1" applyAlignment="1">
      <alignment horizontal="center" vertical="center" wrapText="1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>
      <alignment horizontal="center" vertical="center" wrapText="1"/>
    </xf>
    <xf numFmtId="165" fontId="18" fillId="2" borderId="35" xfId="20" applyFont="1" applyFill="1" applyBorder="1" applyAlignment="1">
      <alignment horizontal="center" vertical="center" wrapText="1"/>
    </xf>
    <xf numFmtId="165" fontId="18" fillId="2" borderId="36" xfId="20" applyFont="1" applyFill="1" applyBorder="1" applyAlignment="1">
      <alignment horizontal="center" vertical="center" wrapText="1"/>
    </xf>
    <xf numFmtId="170" fontId="18" fillId="2" borderId="0" xfId="0" applyFont="1" applyFill="1" applyAlignment="1">
      <alignment horizontal="left" vertical="center" wrapText="1"/>
    </xf>
    <xf numFmtId="171" fontId="18" fillId="2" borderId="35" xfId="20" applyNumberFormat="1" applyFont="1" applyFill="1" applyBorder="1" applyAlignment="1">
      <alignment horizontal="center" vertical="center" wrapText="1"/>
    </xf>
    <xf numFmtId="171" fontId="18" fillId="2" borderId="36" xfId="20" applyNumberFormat="1" applyFont="1" applyFill="1" applyBorder="1" applyAlignment="1">
      <alignment horizontal="center" vertical="center" wrapText="1"/>
    </xf>
    <xf numFmtId="170" fontId="18" fillId="2" borderId="0" xfId="0" applyFont="1" applyFill="1" applyAlignment="1">
      <alignment horizontal="center" vertical="center" wrapText="1"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Денежный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  <cellStyle name="Гиперссылка" xfId="78"/>
    <cellStyle name="Открывавшаяся гиперссылка" xfId="79"/>
    <cellStyle name="Гиперссылка" xfId="80"/>
    <cellStyle name="Открывавшаяся гиперссылка" xfId="81"/>
    <cellStyle name="Гиперссылка" xfId="82"/>
    <cellStyle name="Открывавшаяся гиперссылка" xfId="83"/>
    <cellStyle name="Гиперссылка" xfId="84"/>
    <cellStyle name="Открывавшаяся гиперссылка" xfId="85"/>
    <cellStyle name="Гиперссылка" xfId="86"/>
    <cellStyle name="Открывавшаяся гиперссылка" xfId="87"/>
    <cellStyle name="Гиперссылка" xfId="88"/>
    <cellStyle name="Открывавшаяся гиперссылка" xfId="89"/>
    <cellStyle name="Гиперссылка" xfId="90"/>
    <cellStyle name="Открывавшаяся гиперссылка" xfId="91"/>
    <cellStyle name="Гиперссылка" xfId="92"/>
    <cellStyle name="Открывавшаяся гиперссылка" xfId="93"/>
    <cellStyle name="Гиперссылка" xfId="94"/>
    <cellStyle name="Открывавшаяся гиперссылка" xfId="95"/>
    <cellStyle name="Гиперссылка" xfId="96"/>
    <cellStyle name="Открывавшаяся гиперссылка" xfId="97"/>
    <cellStyle name="Гиперссылка" xfId="98"/>
    <cellStyle name="Открывавшаяся гиперссылка" xfId="99"/>
    <cellStyle name="Гиперссылка" xfId="100"/>
    <cellStyle name="Открывавшаяся гиперссылка" xfId="101"/>
    <cellStyle name="Гиперссылка" xfId="102"/>
    <cellStyle name="Открывавшаяся гиперссылка" xfId="103"/>
    <cellStyle name="Гиперссылка" xfId="104"/>
    <cellStyle name="Открывавшаяся гиперссылка" xfId="105"/>
    <cellStyle name="Гиперссылка" xfId="106"/>
    <cellStyle name="Открывавшаяся гиперссылка" xfId="107"/>
    <cellStyle name="Гиперссылка" xfId="108"/>
    <cellStyle name="Открывавшаяся гиперссылка" xfId="109"/>
    <cellStyle name="Гиперссылка" xfId="110"/>
    <cellStyle name="Открывавшаяся гиперссылка" xfId="111"/>
    <cellStyle name="Гиперссылка" xfId="112"/>
    <cellStyle name="Открывавшаяся гиперссылка" xfId="113"/>
    <cellStyle name="Гиперссылка" xfId="114"/>
    <cellStyle name="Открывавшаяся гиперссылка" xfId="115"/>
    <cellStyle name="Гиперссылка" xfId="116"/>
    <cellStyle name="Открывавшаяся гиперссылка" xfId="117"/>
    <cellStyle name="Гиперссылка" xfId="118"/>
    <cellStyle name="Открывавшаяся гиперссылка" xfId="119"/>
    <cellStyle name="Гиперссылка" xfId="120"/>
    <cellStyle name="Открывавшаяся гиперссылка" xfId="121"/>
    <cellStyle name="Гиперссылка" xfId="122"/>
    <cellStyle name="Открывавшаяся гиперссылка" xfId="123"/>
    <cellStyle name="Comma 4" xfId="124"/>
    <cellStyle name="Гиперссылка" xfId="125"/>
    <cellStyle name="Открывавшаяся гиперссылка" xfId="126"/>
    <cellStyle name="Гиперссылка" xfId="127"/>
    <cellStyle name="Открывавшаяся гиперссылка" xfId="128"/>
    <cellStyle name="Гиперссылка" xfId="129"/>
    <cellStyle name="Открывавшаяся гиперссылка" xfId="130"/>
    <cellStyle name="Normal 2" xfId="131"/>
    <cellStyle name="Currency 2" xfId="132"/>
    <cellStyle name="Percent 3" xfId="133"/>
    <cellStyle name="Normal 2 4" xfId="134"/>
    <cellStyle name="Comma 2" xfId="135"/>
    <cellStyle name="Normal 3" xfId="136"/>
    <cellStyle name="Normal 4" xfId="137"/>
    <cellStyle name="Comma 2 2" xfId="138"/>
    <cellStyle name="Normal 2 2" xfId="139"/>
    <cellStyle name="Comma 2 3" xfId="140"/>
    <cellStyle name="Currency 3" xfId="141"/>
    <cellStyle name="Comma 3" xfId="142"/>
    <cellStyle name="Normal 3 3" xfId="143"/>
    <cellStyle name="Currency 2 3" xfId="144"/>
    <cellStyle name="Normal 2 2 2" xfId="145"/>
    <cellStyle name="Comma 2 3 2" xfId="146"/>
    <cellStyle name="Comma 2 4" xfId="147"/>
    <cellStyle name="Normal 3 2" xfId="148"/>
    <cellStyle name="Comma 2 2 2" xfId="149"/>
    <cellStyle name="Currency 2 2" xfId="150"/>
    <cellStyle name="Normal 2 2 2 2" xfId="151"/>
    <cellStyle name="Comma 2 4 2" xfId="152"/>
    <cellStyle name="Percent 2" xfId="153"/>
    <cellStyle name="Comma 2 2 2 2" xfId="154"/>
    <cellStyle name="Comma 2 4 2 2" xfId="155"/>
    <cellStyle name="Normal 2 3" xfId="156"/>
    <cellStyle name="Comma 2 5" xfId="157"/>
    <cellStyle name="Comma 3 2" xfId="158"/>
    <cellStyle name="Normal 5" xfId="159"/>
    <cellStyle name="Comma 2 2 3" xfId="160"/>
    <cellStyle name="Normal 2 2 3" xfId="161"/>
    <cellStyle name="Currency 3 2" xfId="162"/>
    <cellStyle name="Normal 2 3 2" xfId="163"/>
    <cellStyle name="Comma 4 2" xfId="164"/>
    <cellStyle name="Comma 4 3" xfId="165"/>
    <cellStyle name="Comma 4 4" xfId="166"/>
    <cellStyle name="Comma 4 5" xfId="167"/>
    <cellStyle name="Обычный 3" xfId="168"/>
    <cellStyle name="Normal 2 3 3" xfId="169"/>
    <cellStyle name="Comma 4 6" xfId="170"/>
    <cellStyle name="Comma 4 7" xfId="171"/>
    <cellStyle name="Normal 6" xfId="172"/>
    <cellStyle name="Virgül 2" xfId="173"/>
    <cellStyle name="ParaBirimi 2" xfId="174"/>
    <cellStyle name="Обычный 2" xfId="175"/>
    <cellStyle name="Comma 2 5 2" xfId="176"/>
    <cellStyle name="Comma 2 2 2 3" xfId="177"/>
    <cellStyle name="Comma 2 2 2 3 2" xfId="178"/>
    <cellStyle name="Comma 2 2 2 3 2 2" xfId="179"/>
    <cellStyle name="Comma 2 2 3 2" xfId="180"/>
    <cellStyle name="Comma 2 2 3 2 2" xfId="181"/>
    <cellStyle name="Comma 2 3 3" xfId="182"/>
    <cellStyle name="Comma 2 3 3 2" xfId="183"/>
    <cellStyle name="Comma 2 3 3 2 2" xfId="184"/>
    <cellStyle name="Comma 2 4 3" xfId="185"/>
    <cellStyle name="Comma 2 4 3 2" xfId="186"/>
    <cellStyle name="Comma 2 4 3 2 2" xfId="187"/>
    <cellStyle name="Comma 2 4 4" xfId="188"/>
    <cellStyle name="Comma 2 4 4 2" xfId="189"/>
    <cellStyle name="Comma 2 4 4 2 2" xfId="190"/>
    <cellStyle name="Comma 2 4 5" xfId="191"/>
    <cellStyle name="Comma 2 4 5 2" xfId="192"/>
    <cellStyle name="Comma 2 4 5 2 2" xfId="193"/>
    <cellStyle name="Comma 5" xfId="194"/>
    <cellStyle name="Currency 4" xfId="195"/>
    <cellStyle name="Currency 5" xfId="196"/>
    <cellStyle name="Currency 6" xfId="197"/>
    <cellStyle name="Hyperlink 2" xfId="198"/>
    <cellStyle name="Normal 10" xfId="199"/>
    <cellStyle name="Normal 14_anakia II etapi.xls sm. defeqturi" xfId="200"/>
    <cellStyle name="Normal 2 2 3 2" xfId="201"/>
    <cellStyle name="Normal 2 2 3 2 2" xfId="202"/>
    <cellStyle name="Normal 2 2_MCXETA yazarma- Copy" xfId="203"/>
    <cellStyle name="Normal 2_---SUL--- GORI-HOSPITALI-BOLO" xfId="204"/>
    <cellStyle name="Normal 30" xfId="205"/>
    <cellStyle name="Normal 6 2" xfId="206"/>
    <cellStyle name="Процентный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Projects\Sheraton\BOQ\CMC%20BOQ\chavchavadze\Block%20A,B,C_Construction%20+%20Enabling_Works\BOQ_Structural\Chavchavadze_#82a%20-%20Block_A_Constru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Unit Price Assumptions"/>
      <sheetName val="Foundation"/>
      <sheetName val="-10.470"/>
      <sheetName val="-7.410"/>
      <sheetName val="-4.350"/>
      <sheetName val="-0.100"/>
      <sheetName val="+3.300"/>
      <sheetName val="+6.700"/>
      <sheetName val="+10.100"/>
      <sheetName val="+13.500"/>
      <sheetName val="+16.900"/>
      <sheetName val="+20.300"/>
      <sheetName val="+23.700"/>
      <sheetName val="+27.100"/>
      <sheetName val="+30.500"/>
      <sheetName val="+33.900"/>
      <sheetName val="+37.300"/>
      <sheetName val="+40.700"/>
      <sheetName val="+44.100"/>
      <sheetName val="+47.500"/>
      <sheetName val="+51.000"/>
    </sheetNames>
    <sheetDataSet>
      <sheetData sheetId="0"/>
      <sheetData sheetId="1">
        <row r="6">
          <cell r="D6" t="str">
            <v>US $  Rate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tabSelected="1" workbookViewId="0" topLeftCell="A7">
      <selection activeCell="D22" sqref="D22"/>
    </sheetView>
  </sheetViews>
  <sheetFormatPr defaultColWidth="9.140625" defaultRowHeight="15"/>
  <cols>
    <col min="1" max="1" width="4.8515625" style="172" customWidth="1"/>
    <col min="2" max="2" width="32.8515625" style="172" bestFit="1" customWidth="1"/>
    <col min="3" max="3" width="23.421875" style="172" customWidth="1"/>
    <col min="4" max="4" width="19.7109375" style="172" customWidth="1"/>
    <col min="5" max="5" width="16.28125" style="172" customWidth="1"/>
    <col min="6" max="6" width="17.7109375" style="173" customWidth="1"/>
    <col min="7" max="7" width="12.421875" style="173" bestFit="1" customWidth="1"/>
    <col min="8" max="8" width="12.7109375" style="173" bestFit="1" customWidth="1"/>
    <col min="9" max="16384" width="9.140625" style="173" customWidth="1"/>
  </cols>
  <sheetData>
    <row r="1" ht="24">
      <c r="A1" s="147" t="s">
        <v>105</v>
      </c>
    </row>
    <row r="2" ht="21">
      <c r="A2" s="150" t="s">
        <v>109</v>
      </c>
    </row>
    <row r="4" spans="2:3" ht="15">
      <c r="B4" s="200" t="s">
        <v>142</v>
      </c>
      <c r="C4" s="204" t="s">
        <v>148</v>
      </c>
    </row>
    <row r="5" spans="2:3" ht="15">
      <c r="B5" s="200" t="s">
        <v>143</v>
      </c>
      <c r="C5" s="200" t="s">
        <v>144</v>
      </c>
    </row>
    <row r="7" ht="15.75" thickBot="1"/>
    <row r="8" spans="3:5" ht="27" customHeight="1" thickBot="1">
      <c r="C8" s="174" t="s">
        <v>145</v>
      </c>
      <c r="D8" s="205">
        <v>2.45</v>
      </c>
      <c r="E8" s="173"/>
    </row>
    <row r="10" spans="1:5" s="177" customFormat="1" ht="33.75" customHeight="1">
      <c r="A10" s="175" t="s">
        <v>17</v>
      </c>
      <c r="B10" s="175" t="s">
        <v>79</v>
      </c>
      <c r="C10" s="175" t="s">
        <v>80</v>
      </c>
      <c r="D10" s="175" t="s">
        <v>81</v>
      </c>
      <c r="E10" s="176"/>
    </row>
    <row r="11" spans="1:5" s="177" customFormat="1" ht="15">
      <c r="A11" s="178">
        <v>1</v>
      </c>
      <c r="B11" s="179">
        <v>2</v>
      </c>
      <c r="C11" s="179">
        <v>3</v>
      </c>
      <c r="D11" s="179">
        <v>4</v>
      </c>
      <c r="E11" s="176"/>
    </row>
    <row r="12" spans="1:5" s="177" customFormat="1" ht="24" customHeight="1">
      <c r="A12" s="180">
        <v>1</v>
      </c>
      <c r="B12" s="181" t="s">
        <v>84</v>
      </c>
      <c r="C12" s="182">
        <f>D12*D8</f>
        <v>49000</v>
      </c>
      <c r="D12" s="14">
        <f>'Site Preparation Works'!H17</f>
        <v>20000</v>
      </c>
      <c r="E12" s="176"/>
    </row>
    <row r="13" spans="1:5" s="177" customFormat="1" ht="24" customHeight="1">
      <c r="A13" s="180">
        <v>2</v>
      </c>
      <c r="B13" s="181" t="s">
        <v>106</v>
      </c>
      <c r="C13" s="182">
        <f aca="true" t="shared" si="0" ref="C13:C21">D13*$D$8</f>
        <v>43834.59</v>
      </c>
      <c r="D13" s="14">
        <f>'-13.730'!K5</f>
        <v>17891.67</v>
      </c>
      <c r="E13" s="183"/>
    </row>
    <row r="14" spans="1:5" s="177" customFormat="1" ht="24" customHeight="1">
      <c r="A14" s="180">
        <v>3</v>
      </c>
      <c r="B14" s="181" t="s">
        <v>107</v>
      </c>
      <c r="C14" s="182">
        <f t="shared" si="0"/>
        <v>2299.99</v>
      </c>
      <c r="D14" s="14">
        <f>'-10.430'!K5</f>
        <v>938.77</v>
      </c>
      <c r="E14" s="183"/>
    </row>
    <row r="15" spans="1:5" s="177" customFormat="1" ht="24" customHeight="1">
      <c r="A15" s="180">
        <v>4</v>
      </c>
      <c r="B15" s="181" t="s">
        <v>108</v>
      </c>
      <c r="C15" s="182">
        <f t="shared" si="0"/>
        <v>2299.99</v>
      </c>
      <c r="D15" s="14">
        <f>'-7.130'!K5</f>
        <v>938.77</v>
      </c>
      <c r="E15" s="183"/>
    </row>
    <row r="16" spans="1:5" s="177" customFormat="1" ht="24" customHeight="1">
      <c r="A16" s="180">
        <v>5</v>
      </c>
      <c r="B16" s="181" t="s">
        <v>119</v>
      </c>
      <c r="C16" s="182">
        <f t="shared" si="0"/>
        <v>15544.44</v>
      </c>
      <c r="D16" s="14">
        <f>'-3.230'!K4</f>
        <v>6344.67</v>
      </c>
      <c r="E16" s="183"/>
    </row>
    <row r="17" spans="1:5" s="177" customFormat="1" ht="24" customHeight="1">
      <c r="A17" s="180">
        <v>6</v>
      </c>
      <c r="B17" s="181" t="s">
        <v>120</v>
      </c>
      <c r="C17" s="182">
        <f t="shared" si="0"/>
        <v>100678.56</v>
      </c>
      <c r="D17" s="14">
        <f>'+0.370'!K4</f>
        <v>41093.29</v>
      </c>
      <c r="E17" s="183"/>
    </row>
    <row r="18" spans="1:5" s="177" customFormat="1" ht="24" customHeight="1">
      <c r="A18" s="180">
        <v>7</v>
      </c>
      <c r="B18" s="181" t="s">
        <v>121</v>
      </c>
      <c r="C18" s="182">
        <f t="shared" si="0"/>
        <v>99684.6</v>
      </c>
      <c r="D18" s="14">
        <f>'+3.970'!K4</f>
        <v>40687.59</v>
      </c>
      <c r="E18" s="183"/>
    </row>
    <row r="19" spans="1:5" s="177" customFormat="1" ht="24" customHeight="1">
      <c r="A19" s="180">
        <v>8</v>
      </c>
      <c r="B19" s="181" t="s">
        <v>122</v>
      </c>
      <c r="C19" s="182">
        <f t="shared" si="0"/>
        <v>99642.06</v>
      </c>
      <c r="D19" s="14">
        <f>'+7.570'!K4</f>
        <v>40670.23</v>
      </c>
      <c r="E19" s="183"/>
    </row>
    <row r="20" spans="1:5" s="177" customFormat="1" ht="24" customHeight="1">
      <c r="A20" s="180">
        <v>9</v>
      </c>
      <c r="B20" s="181" t="s">
        <v>123</v>
      </c>
      <c r="C20" s="182">
        <f t="shared" si="0"/>
        <v>41802.27</v>
      </c>
      <c r="D20" s="14">
        <f>'+10.870'!K4</f>
        <v>17062.15</v>
      </c>
      <c r="E20" s="183"/>
    </row>
    <row r="21" spans="1:5" s="177" customFormat="1" ht="24" customHeight="1">
      <c r="A21" s="180">
        <v>10</v>
      </c>
      <c r="B21" s="181" t="s">
        <v>124</v>
      </c>
      <c r="C21" s="182">
        <f t="shared" si="0"/>
        <v>6116.45</v>
      </c>
      <c r="D21" s="14">
        <f>'+13.770'!K4</f>
        <v>2496.51</v>
      </c>
      <c r="E21" s="183"/>
    </row>
    <row r="22" spans="1:5" s="177" customFormat="1" ht="22.5" customHeight="1">
      <c r="A22" s="184"/>
      <c r="B22" s="185" t="s">
        <v>125</v>
      </c>
      <c r="C22" s="186">
        <f>SUM(C12:C21)</f>
        <v>460902.95</v>
      </c>
      <c r="D22" s="187">
        <f>SUM(D12:D21)</f>
        <v>188123.65</v>
      </c>
      <c r="E22" s="188"/>
    </row>
    <row r="27" spans="1:8" s="192" customFormat="1" ht="24" customHeight="1">
      <c r="A27" s="189" t="s">
        <v>96</v>
      </c>
      <c r="B27" s="190" t="s">
        <v>110</v>
      </c>
      <c r="C27" s="189" t="s">
        <v>111</v>
      </c>
      <c r="D27" s="189" t="s">
        <v>126</v>
      </c>
      <c r="E27" s="189" t="s">
        <v>112</v>
      </c>
      <c r="F27" s="189" t="s">
        <v>113</v>
      </c>
      <c r="G27" s="191"/>
      <c r="H27" s="191"/>
    </row>
    <row r="28" spans="1:8" ht="24.75" customHeight="1">
      <c r="A28" s="193">
        <v>1</v>
      </c>
      <c r="B28" s="159" t="s">
        <v>38</v>
      </c>
      <c r="C28" s="159" t="s">
        <v>47</v>
      </c>
      <c r="D28" s="202">
        <f>'-13.730'!F17+'-10.430'!F16+'-7.130'!F17+'-3.230'!F16+'-3.230'!F24+'-3.230'!F32+'+0.370'!F16+'+0.370'!F24+'+0.370'!F32+'+0.370'!F40+'+3.970'!F17+'+3.970'!F25+'+3.970'!F33+'+3.970'!F41+'+7.570'!F15+'+7.570'!F23+'+7.570'!F31+'+7.570'!F39+'+10.870'!F20+'+10.870'!F28+'+13.770'!F16</f>
        <v>24.47</v>
      </c>
      <c r="E28" s="201">
        <f>'Unit Price Assumptions'!C10</f>
        <v>0</v>
      </c>
      <c r="F28" s="203">
        <f>D28*E28</f>
        <v>0</v>
      </c>
      <c r="G28" s="172"/>
      <c r="H28" s="172"/>
    </row>
    <row r="29" spans="1:8" ht="21.75" customHeight="1">
      <c r="A29" s="193">
        <v>2</v>
      </c>
      <c r="B29" s="159" t="s">
        <v>39</v>
      </c>
      <c r="C29" s="159" t="s">
        <v>45</v>
      </c>
      <c r="D29" s="202">
        <f>'-13.730'!F18+'-10.430'!F17+'-7.130'!F18+'-3.230'!F17+'-3.230'!F25+'-3.230'!F33+'+0.370'!F17+'+0.370'!F25+'+0.370'!F33+'+0.370'!F41+'+3.970'!F18+'+3.970'!F26+'+3.970'!F34+'+3.970'!F42+'+7.570'!F16+'+7.570'!F24+'+7.570'!F32+'+7.570'!F40+'+10.870'!F21+'+10.870'!F29+'+13.770'!F17</f>
        <v>139.9</v>
      </c>
      <c r="E29" s="201">
        <f>'Unit Price Assumptions'!C11</f>
        <v>0</v>
      </c>
      <c r="F29" s="203">
        <f>D29*E29</f>
        <v>0</v>
      </c>
      <c r="G29" s="172"/>
      <c r="H29" s="172"/>
    </row>
    <row r="30" spans="4:8" ht="18" customHeight="1">
      <c r="D30" s="194" t="s">
        <v>127</v>
      </c>
      <c r="E30" s="195"/>
      <c r="F30" s="196">
        <f>SUM(F28:F29)</f>
        <v>0</v>
      </c>
      <c r="G30" s="172"/>
      <c r="H30" s="172"/>
    </row>
    <row r="31" spans="4:8" ht="15">
      <c r="D31" s="197" t="s">
        <v>33</v>
      </c>
      <c r="E31" s="198">
        <v>0.18</v>
      </c>
      <c r="F31" s="195">
        <f>F30*E31</f>
        <v>0</v>
      </c>
      <c r="G31" s="172"/>
      <c r="H31" s="172"/>
    </row>
    <row r="32" spans="4:6" ht="15">
      <c r="D32" s="199" t="s">
        <v>115</v>
      </c>
      <c r="E32" s="195"/>
      <c r="F32" s="200">
        <f>SUM(F30:F31)</f>
        <v>0</v>
      </c>
    </row>
  </sheetData>
  <sheetProtection algorithmName="SHA-512" hashValue="8Pv6mom5DniaSgXO2qI5Bw3QKbhIBvKF9kCds3M0FNYudeYaDCCmsoExVjRn33h9qRHNNQ5qIqperDfk/OMKkA==" saltValue="/+7KrdEVEdEchphPCL/u2w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PageLayoutView="115" workbookViewId="0" topLeftCell="A19">
      <selection activeCell="F12" sqref="F12"/>
    </sheetView>
  </sheetViews>
  <sheetFormatPr defaultColWidth="8.8515625" defaultRowHeight="15"/>
  <cols>
    <col min="1" max="1" width="3.28125" style="44" customWidth="1"/>
    <col min="2" max="2" width="37.8515625" style="46" customWidth="1"/>
    <col min="3" max="3" width="41.57421875" style="46" customWidth="1"/>
    <col min="4" max="4" width="7.00390625" style="44" bestFit="1" customWidth="1"/>
    <col min="5" max="5" width="11.851562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10.00390625" style="44" customWidth="1"/>
    <col min="10" max="10" width="13.140625" style="44" bestFit="1" customWidth="1"/>
    <col min="11" max="11" width="12.421875" style="44" bestFit="1" customWidth="1"/>
    <col min="12" max="12" width="17.28125" style="44" customWidth="1"/>
    <col min="13" max="13" width="14.57421875" style="31" bestFit="1" customWidth="1"/>
    <col min="14" max="16384" width="8.8515625" style="4" customWidth="1"/>
  </cols>
  <sheetData>
    <row r="1" spans="1:13" ht="21">
      <c r="A1" s="42"/>
      <c r="B1" s="42"/>
      <c r="C1" s="103" t="s">
        <v>16</v>
      </c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12" customHeight="1">
      <c r="A2" s="63"/>
      <c r="B2" s="42"/>
      <c r="C2" s="42"/>
      <c r="D2" s="63"/>
      <c r="E2" s="42"/>
      <c r="F2" s="42"/>
      <c r="G2" s="40"/>
      <c r="H2" s="42"/>
      <c r="I2" s="40"/>
      <c r="J2" s="42"/>
      <c r="K2" s="227" t="s">
        <v>18</v>
      </c>
      <c r="L2" s="228"/>
      <c r="M2" s="229"/>
    </row>
    <row r="3" spans="1:13" ht="21" customHeight="1">
      <c r="A3" s="63"/>
      <c r="B3" s="42"/>
      <c r="C3" s="42"/>
      <c r="D3" s="241"/>
      <c r="E3" s="241"/>
      <c r="F3" s="241"/>
      <c r="G3" s="241"/>
      <c r="H3" s="241"/>
      <c r="I3" s="241"/>
      <c r="J3" s="42"/>
      <c r="K3" s="89" t="s">
        <v>19</v>
      </c>
      <c r="L3" s="89" t="s">
        <v>40</v>
      </c>
      <c r="M3" s="57" t="str">
        <f ca="1">'+7.570'!M3</f>
        <v>US $  Rate</v>
      </c>
    </row>
    <row r="4" spans="1:13" ht="21">
      <c r="A4" s="42"/>
      <c r="B4" s="110" t="s">
        <v>68</v>
      </c>
      <c r="C4" s="42"/>
      <c r="D4" s="241"/>
      <c r="E4" s="241"/>
      <c r="F4" s="241"/>
      <c r="G4" s="241"/>
      <c r="H4" s="241"/>
      <c r="I4" s="241"/>
      <c r="J4" s="42"/>
      <c r="K4" s="26">
        <f>M48</f>
        <v>40670.23</v>
      </c>
      <c r="L4" s="121">
        <f>K4*M4</f>
        <v>99642.06</v>
      </c>
      <c r="M4" s="91">
        <f>'Unit Price Assumptions'!D4</f>
        <v>2.45</v>
      </c>
    </row>
    <row r="5" spans="1:13" ht="15">
      <c r="A5" s="42"/>
      <c r="B5" s="42"/>
      <c r="C5" s="42"/>
      <c r="D5" s="241"/>
      <c r="E5" s="241"/>
      <c r="F5" s="241"/>
      <c r="G5" s="241"/>
      <c r="H5" s="241"/>
      <c r="I5" s="241"/>
      <c r="J5" s="42"/>
      <c r="K5" s="43"/>
      <c r="L5" s="43"/>
      <c r="M5" s="30"/>
    </row>
    <row r="6" ht="15.75" thickBot="1"/>
    <row r="7" spans="1:13" ht="24.75" customHeight="1">
      <c r="A7" s="231" t="s">
        <v>96</v>
      </c>
      <c r="B7" s="233" t="s">
        <v>20</v>
      </c>
      <c r="C7" s="235" t="s">
        <v>41</v>
      </c>
      <c r="D7" s="237" t="s">
        <v>31</v>
      </c>
      <c r="E7" s="217" t="s">
        <v>21</v>
      </c>
      <c r="F7" s="218"/>
      <c r="G7" s="217" t="s">
        <v>22</v>
      </c>
      <c r="H7" s="218"/>
      <c r="I7" s="217" t="s">
        <v>23</v>
      </c>
      <c r="J7" s="218"/>
      <c r="K7" s="217" t="s">
        <v>24</v>
      </c>
      <c r="L7" s="218"/>
      <c r="M7" s="239" t="s">
        <v>18</v>
      </c>
    </row>
    <row r="8" spans="1:15" ht="45">
      <c r="A8" s="232"/>
      <c r="B8" s="234"/>
      <c r="C8" s="236"/>
      <c r="D8" s="238"/>
      <c r="E8" s="47" t="s">
        <v>114</v>
      </c>
      <c r="F8" s="48" t="s">
        <v>18</v>
      </c>
      <c r="G8" s="47" t="s">
        <v>103</v>
      </c>
      <c r="H8" s="48" t="s">
        <v>18</v>
      </c>
      <c r="I8" s="47" t="s">
        <v>103</v>
      </c>
      <c r="J8" s="48" t="s">
        <v>18</v>
      </c>
      <c r="K8" s="47" t="s">
        <v>103</v>
      </c>
      <c r="L8" s="48" t="s">
        <v>18</v>
      </c>
      <c r="M8" s="240"/>
      <c r="O8" s="56">
        <f>(3397.1+76.55+16.95+145.95+72.05)/1000</f>
        <v>3.71</v>
      </c>
    </row>
    <row r="9" spans="1:15" ht="15">
      <c r="A9" s="49" t="s">
        <v>1</v>
      </c>
      <c r="B9" s="215" t="s">
        <v>13</v>
      </c>
      <c r="C9" s="216"/>
      <c r="D9" s="50" t="s">
        <v>2</v>
      </c>
      <c r="E9" s="51" t="s">
        <v>3</v>
      </c>
      <c r="F9" s="52" t="s">
        <v>14</v>
      </c>
      <c r="G9" s="51" t="s">
        <v>4</v>
      </c>
      <c r="H9" s="50" t="s">
        <v>5</v>
      </c>
      <c r="I9" s="51" t="s">
        <v>6</v>
      </c>
      <c r="J9" s="52" t="s">
        <v>7</v>
      </c>
      <c r="K9" s="51" t="s">
        <v>8</v>
      </c>
      <c r="L9" s="53" t="s">
        <v>9</v>
      </c>
      <c r="M9" s="54" t="s">
        <v>10</v>
      </c>
      <c r="O9" s="56">
        <f>(7406+869+463+370.32+331.8)/1000</f>
        <v>9.44</v>
      </c>
    </row>
    <row r="10" spans="1:16" s="1" customFormat="1" ht="30">
      <c r="A10" s="59">
        <v>1</v>
      </c>
      <c r="B10" s="119" t="s">
        <v>59</v>
      </c>
      <c r="C10" s="119" t="s">
        <v>60</v>
      </c>
      <c r="D10" s="56" t="s">
        <v>11</v>
      </c>
      <c r="E10" s="56"/>
      <c r="F10" s="120">
        <f>52.4+202</f>
        <v>254.4</v>
      </c>
      <c r="G10" s="57"/>
      <c r="H10" s="56">
        <f aca="true" t="shared" si="0" ref="H10:H41">F10*G10</f>
        <v>0</v>
      </c>
      <c r="I10" s="146">
        <f>'Unit Price Assumptions'!D19</f>
        <v>40.82</v>
      </c>
      <c r="J10" s="56">
        <f>F10*I10</f>
        <v>10384.61</v>
      </c>
      <c r="K10" s="146">
        <f>'Unit Price Assumptions'!D21</f>
        <v>4.08</v>
      </c>
      <c r="L10" s="56">
        <f>F10*K10</f>
        <v>1037.95</v>
      </c>
      <c r="M10" s="58">
        <f>H10+J10+L10</f>
        <v>11422.56</v>
      </c>
      <c r="O10" s="56">
        <v>52.44</v>
      </c>
      <c r="P10" s="9"/>
    </row>
    <row r="11" spans="1:16" ht="15">
      <c r="A11" s="59"/>
      <c r="B11" s="60" t="s">
        <v>56</v>
      </c>
      <c r="C11" s="60" t="s">
        <v>61</v>
      </c>
      <c r="D11" s="61" t="s">
        <v>11</v>
      </c>
      <c r="E11" s="62">
        <v>1.015</v>
      </c>
      <c r="F11" s="56">
        <f>$F$10*E11</f>
        <v>258.22</v>
      </c>
      <c r="G11" s="146">
        <f>'Unit Price Assumptions'!C8</f>
        <v>44.97</v>
      </c>
      <c r="H11" s="56">
        <f t="shared" si="0"/>
        <v>11612.15</v>
      </c>
      <c r="I11" s="57"/>
      <c r="J11" s="56">
        <f aca="true" t="shared" si="1" ref="J11:J41">F11*I11</f>
        <v>0</v>
      </c>
      <c r="K11" s="57"/>
      <c r="L11" s="56">
        <f aca="true" t="shared" si="2" ref="L11:L41">F11*K11</f>
        <v>0</v>
      </c>
      <c r="M11" s="58">
        <f aca="true" t="shared" si="3" ref="M11:M41">H11+J11+L11</f>
        <v>11612.15</v>
      </c>
      <c r="O11" s="8"/>
      <c r="P11" s="6"/>
    </row>
    <row r="12" spans="1:16" ht="15">
      <c r="A12" s="59"/>
      <c r="B12" s="60" t="s">
        <v>29</v>
      </c>
      <c r="C12" s="60" t="s">
        <v>43</v>
      </c>
      <c r="D12" s="61" t="s">
        <v>15</v>
      </c>
      <c r="E12" s="62">
        <v>0.3</v>
      </c>
      <c r="F12" s="56">
        <f>$F$10*E12</f>
        <v>76.32</v>
      </c>
      <c r="G12" s="146">
        <f>'Unit Price Assumptions'!C12</f>
        <v>8.65</v>
      </c>
      <c r="H12" s="56">
        <f t="shared" si="0"/>
        <v>660.17</v>
      </c>
      <c r="I12" s="57"/>
      <c r="J12" s="56">
        <f t="shared" si="1"/>
        <v>0</v>
      </c>
      <c r="K12" s="57"/>
      <c r="L12" s="56">
        <f t="shared" si="2"/>
        <v>0</v>
      </c>
      <c r="M12" s="58">
        <f t="shared" si="3"/>
        <v>660.17</v>
      </c>
      <c r="O12" s="8"/>
      <c r="P12" s="6"/>
    </row>
    <row r="13" spans="1:16" ht="15">
      <c r="A13" s="59"/>
      <c r="B13" s="60" t="s">
        <v>37</v>
      </c>
      <c r="C13" s="60" t="s">
        <v>42</v>
      </c>
      <c r="D13" s="61" t="s">
        <v>11</v>
      </c>
      <c r="E13" s="62">
        <v>0.011</v>
      </c>
      <c r="F13" s="56">
        <f>$F$10*E13</f>
        <v>2.8</v>
      </c>
      <c r="G13" s="146">
        <f>'Unit Price Assumptions'!C13</f>
        <v>475.61</v>
      </c>
      <c r="H13" s="56">
        <f t="shared" si="0"/>
        <v>1331.71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1331.71</v>
      </c>
      <c r="P13" s="6"/>
    </row>
    <row r="14" spans="1:16" ht="15">
      <c r="A14" s="59"/>
      <c r="B14" s="60" t="s">
        <v>30</v>
      </c>
      <c r="C14" s="60" t="s">
        <v>44</v>
      </c>
      <c r="D14" s="61" t="s">
        <v>12</v>
      </c>
      <c r="E14" s="62">
        <v>2.5</v>
      </c>
      <c r="F14" s="56">
        <f>$F$10*E14</f>
        <v>636</v>
      </c>
      <c r="G14" s="146">
        <f>'Unit Price Assumptions'!C15</f>
        <v>1.02</v>
      </c>
      <c r="H14" s="56">
        <f t="shared" si="0"/>
        <v>648.72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648.72</v>
      </c>
      <c r="P14" s="6"/>
    </row>
    <row r="15" spans="1:16" ht="15">
      <c r="A15" s="59"/>
      <c r="B15" s="60" t="s">
        <v>38</v>
      </c>
      <c r="C15" s="60" t="s">
        <v>47</v>
      </c>
      <c r="D15" s="61" t="s">
        <v>35</v>
      </c>
      <c r="E15" s="62">
        <v>1.03</v>
      </c>
      <c r="F15" s="56">
        <f>((3397.1+76.55+16.95+145.95+72.05+22.04+313.44+285.04)/1000)*E15</f>
        <v>4.46</v>
      </c>
      <c r="G15" s="146">
        <f>'Unit Price Assumptions'!C10</f>
        <v>0</v>
      </c>
      <c r="H15" s="56">
        <f t="shared" si="0"/>
        <v>0</v>
      </c>
      <c r="I15" s="146">
        <f>'Unit Price Assumptions'!D10</f>
        <v>0</v>
      </c>
      <c r="J15" s="56">
        <f t="shared" si="1"/>
        <v>0</v>
      </c>
      <c r="K15" s="57"/>
      <c r="L15" s="56">
        <f t="shared" si="2"/>
        <v>0</v>
      </c>
      <c r="M15" s="58">
        <f t="shared" si="3"/>
        <v>0</v>
      </c>
      <c r="P15" s="6"/>
    </row>
    <row r="16" spans="1:13" ht="15">
      <c r="A16" s="59"/>
      <c r="B16" s="60" t="s">
        <v>39</v>
      </c>
      <c r="C16" s="60" t="s">
        <v>45</v>
      </c>
      <c r="D16" s="61" t="s">
        <v>35</v>
      </c>
      <c r="E16" s="62">
        <v>1.03</v>
      </c>
      <c r="F16" s="56">
        <f>((7406+869+463+370.32+331.8+6344.88+8976+1209.7+1036.9+160.47+43.2+162.94+158)/1000)*E16</f>
        <v>28.36</v>
      </c>
      <c r="G16" s="146">
        <f>'Unit Price Assumptions'!C11</f>
        <v>0</v>
      </c>
      <c r="H16" s="56">
        <f t="shared" si="0"/>
        <v>0</v>
      </c>
      <c r="I16" s="146">
        <f>'Unit Price Assumptions'!D11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</row>
    <row r="17" spans="1:13" ht="15">
      <c r="A17" s="59"/>
      <c r="B17" s="60" t="s">
        <v>28</v>
      </c>
      <c r="C17" s="60" t="s">
        <v>46</v>
      </c>
      <c r="D17" s="61"/>
      <c r="E17" s="57">
        <v>0.16</v>
      </c>
      <c r="F17" s="56">
        <f>$F$10*E17</f>
        <v>40.7</v>
      </c>
      <c r="G17" s="146">
        <f>'Unit Price Assumptions'!C16</f>
        <v>2.04</v>
      </c>
      <c r="H17" s="56">
        <f t="shared" si="0"/>
        <v>83.03</v>
      </c>
      <c r="I17" s="57"/>
      <c r="J17" s="56">
        <f t="shared" si="1"/>
        <v>0</v>
      </c>
      <c r="K17" s="57"/>
      <c r="L17" s="56">
        <f t="shared" si="2"/>
        <v>0</v>
      </c>
      <c r="M17" s="58">
        <f t="shared" si="3"/>
        <v>83.03</v>
      </c>
    </row>
    <row r="18" spans="1:13" s="1" customFormat="1" ht="30">
      <c r="A18" s="59">
        <v>2</v>
      </c>
      <c r="B18" s="119" t="s">
        <v>62</v>
      </c>
      <c r="C18" s="119" t="s">
        <v>63</v>
      </c>
      <c r="D18" s="56" t="s">
        <v>11</v>
      </c>
      <c r="E18" s="56"/>
      <c r="F18" s="120">
        <f>1.54+0.77+10.78+0.77+3.08+1.54</f>
        <v>18.48</v>
      </c>
      <c r="G18" s="57"/>
      <c r="H18" s="56">
        <f t="shared" si="0"/>
        <v>0</v>
      </c>
      <c r="I18" s="146">
        <f>'Unit Price Assumptions'!D17</f>
        <v>40.82</v>
      </c>
      <c r="J18" s="56">
        <f t="shared" si="1"/>
        <v>754.35</v>
      </c>
      <c r="K18" s="146">
        <f>K10</f>
        <v>4.08</v>
      </c>
      <c r="L18" s="56">
        <f t="shared" si="2"/>
        <v>75.4</v>
      </c>
      <c r="M18" s="58">
        <f t="shared" si="3"/>
        <v>829.75</v>
      </c>
    </row>
    <row r="19" spans="1:13" ht="15">
      <c r="A19" s="59"/>
      <c r="B19" s="60" t="s">
        <v>56</v>
      </c>
      <c r="C19" s="99" t="s">
        <v>61</v>
      </c>
      <c r="D19" s="61" t="s">
        <v>11</v>
      </c>
      <c r="E19" s="62">
        <v>1.015</v>
      </c>
      <c r="F19" s="56">
        <f>$F$18*E19</f>
        <v>18.76</v>
      </c>
      <c r="G19" s="146">
        <f>G11</f>
        <v>44.97</v>
      </c>
      <c r="H19" s="56">
        <f t="shared" si="0"/>
        <v>843.64</v>
      </c>
      <c r="I19" s="57"/>
      <c r="J19" s="56">
        <f t="shared" si="1"/>
        <v>0</v>
      </c>
      <c r="K19" s="57"/>
      <c r="L19" s="56">
        <f t="shared" si="2"/>
        <v>0</v>
      </c>
      <c r="M19" s="58">
        <f t="shared" si="3"/>
        <v>843.64</v>
      </c>
    </row>
    <row r="20" spans="1:13" ht="15">
      <c r="A20" s="59"/>
      <c r="B20" s="60" t="s">
        <v>29</v>
      </c>
      <c r="C20" s="99" t="s">
        <v>43</v>
      </c>
      <c r="D20" s="61" t="s">
        <v>15</v>
      </c>
      <c r="E20" s="62">
        <v>0.61</v>
      </c>
      <c r="F20" s="56">
        <f>$F$18*E20</f>
        <v>11.27</v>
      </c>
      <c r="G20" s="146">
        <f aca="true" t="shared" si="4" ref="G20:G25">G12</f>
        <v>8.65</v>
      </c>
      <c r="H20" s="56">
        <f t="shared" si="0"/>
        <v>97.49</v>
      </c>
      <c r="I20" s="57"/>
      <c r="J20" s="56">
        <f t="shared" si="1"/>
        <v>0</v>
      </c>
      <c r="K20" s="57"/>
      <c r="L20" s="56">
        <f t="shared" si="2"/>
        <v>0</v>
      </c>
      <c r="M20" s="58">
        <f t="shared" si="3"/>
        <v>97.49</v>
      </c>
    </row>
    <row r="21" spans="1:13" ht="15">
      <c r="A21" s="59"/>
      <c r="B21" s="60" t="s">
        <v>37</v>
      </c>
      <c r="C21" s="60" t="s">
        <v>42</v>
      </c>
      <c r="D21" s="61" t="s">
        <v>11</v>
      </c>
      <c r="E21" s="62">
        <v>0.013</v>
      </c>
      <c r="F21" s="56">
        <f>$F$18*E21</f>
        <v>0.24</v>
      </c>
      <c r="G21" s="146">
        <f t="shared" si="4"/>
        <v>475.61</v>
      </c>
      <c r="H21" s="56">
        <f t="shared" si="0"/>
        <v>114.15</v>
      </c>
      <c r="I21" s="57"/>
      <c r="J21" s="56">
        <f t="shared" si="1"/>
        <v>0</v>
      </c>
      <c r="K21" s="57"/>
      <c r="L21" s="56">
        <f t="shared" si="2"/>
        <v>0</v>
      </c>
      <c r="M21" s="58">
        <f t="shared" si="3"/>
        <v>114.15</v>
      </c>
    </row>
    <row r="22" spans="1:13" ht="15">
      <c r="A22" s="59"/>
      <c r="B22" s="60" t="s">
        <v>30</v>
      </c>
      <c r="C22" s="99" t="s">
        <v>44</v>
      </c>
      <c r="D22" s="61" t="s">
        <v>12</v>
      </c>
      <c r="E22" s="62">
        <v>2.5</v>
      </c>
      <c r="F22" s="56">
        <f>$F$18*E22</f>
        <v>46.2</v>
      </c>
      <c r="G22" s="146">
        <f t="shared" si="4"/>
        <v>1.02</v>
      </c>
      <c r="H22" s="56">
        <f t="shared" si="0"/>
        <v>47.12</v>
      </c>
      <c r="I22" s="57"/>
      <c r="J22" s="56">
        <f t="shared" si="1"/>
        <v>0</v>
      </c>
      <c r="K22" s="57"/>
      <c r="L22" s="56">
        <f t="shared" si="2"/>
        <v>0</v>
      </c>
      <c r="M22" s="58">
        <f t="shared" si="3"/>
        <v>47.12</v>
      </c>
    </row>
    <row r="23" spans="1:13" ht="15">
      <c r="A23" s="59"/>
      <c r="B23" s="60" t="s">
        <v>38</v>
      </c>
      <c r="C23" s="99" t="s">
        <v>47</v>
      </c>
      <c r="D23" s="61" t="s">
        <v>35</v>
      </c>
      <c r="E23" s="62">
        <v>1.03</v>
      </c>
      <c r="F23" s="56">
        <f>((49.95+24.97+24.97+12.49+325.51+162.75+23.25+11.63+86.11+43.06+43.06+21.53)/1000)*E23</f>
        <v>0.85</v>
      </c>
      <c r="G23" s="146">
        <f t="shared" si="4"/>
        <v>0</v>
      </c>
      <c r="H23" s="56">
        <f t="shared" si="0"/>
        <v>0</v>
      </c>
      <c r="I23" s="146">
        <f>'Unit Price Assumptions'!D10</f>
        <v>0</v>
      </c>
      <c r="J23" s="56">
        <f t="shared" si="1"/>
        <v>0</v>
      </c>
      <c r="K23" s="57"/>
      <c r="L23" s="56">
        <f t="shared" si="2"/>
        <v>0</v>
      </c>
      <c r="M23" s="58">
        <f t="shared" si="3"/>
        <v>0</v>
      </c>
    </row>
    <row r="24" spans="1:13" ht="15">
      <c r="A24" s="59"/>
      <c r="B24" s="60" t="s">
        <v>39</v>
      </c>
      <c r="C24" s="99" t="s">
        <v>45</v>
      </c>
      <c r="D24" s="61" t="s">
        <v>35</v>
      </c>
      <c r="E24" s="62">
        <v>1.03</v>
      </c>
      <c r="F24" s="56">
        <f>((188.72+35.3+100.3+96.78+45.49+70.21+1053.11+247.08+449.33+74.06+35.1+42.46+320.95+45.18+88.8+127.39)/1000)*E24</f>
        <v>3.11</v>
      </c>
      <c r="G24" s="146">
        <f t="shared" si="4"/>
        <v>0</v>
      </c>
      <c r="H24" s="56">
        <f t="shared" si="0"/>
        <v>0</v>
      </c>
      <c r="I24" s="146">
        <f>'Unit Price Assumptions'!D11</f>
        <v>0</v>
      </c>
      <c r="J24" s="56">
        <f t="shared" si="1"/>
        <v>0</v>
      </c>
      <c r="K24" s="57"/>
      <c r="L24" s="56">
        <f t="shared" si="2"/>
        <v>0</v>
      </c>
      <c r="M24" s="58">
        <f t="shared" si="3"/>
        <v>0</v>
      </c>
    </row>
    <row r="25" spans="1:13" ht="15">
      <c r="A25" s="100"/>
      <c r="B25" s="60" t="s">
        <v>28</v>
      </c>
      <c r="C25" s="99" t="s">
        <v>46</v>
      </c>
      <c r="D25" s="61"/>
      <c r="E25" s="57">
        <v>0.25</v>
      </c>
      <c r="F25" s="56">
        <f>$F$18*E25</f>
        <v>4.62</v>
      </c>
      <c r="G25" s="146">
        <f t="shared" si="4"/>
        <v>2.04</v>
      </c>
      <c r="H25" s="56">
        <f t="shared" si="0"/>
        <v>9.42</v>
      </c>
      <c r="I25" s="57"/>
      <c r="J25" s="56">
        <f t="shared" si="1"/>
        <v>0</v>
      </c>
      <c r="K25" s="57"/>
      <c r="L25" s="56">
        <f t="shared" si="2"/>
        <v>0</v>
      </c>
      <c r="M25" s="58">
        <f t="shared" si="3"/>
        <v>9.42</v>
      </c>
    </row>
    <row r="26" spans="1:13" s="1" customFormat="1" ht="30">
      <c r="A26" s="59">
        <v>3</v>
      </c>
      <c r="B26" s="119" t="s">
        <v>70</v>
      </c>
      <c r="C26" s="119" t="s">
        <v>65</v>
      </c>
      <c r="D26" s="56" t="s">
        <v>11</v>
      </c>
      <c r="E26" s="56"/>
      <c r="F26" s="120">
        <f>14.89</f>
        <v>14.89</v>
      </c>
      <c r="G26" s="57"/>
      <c r="H26" s="56">
        <f t="shared" si="0"/>
        <v>0</v>
      </c>
      <c r="I26" s="146">
        <f>'Unit Price Assumptions'!D18</f>
        <v>40.82</v>
      </c>
      <c r="J26" s="56">
        <f t="shared" si="1"/>
        <v>607.81</v>
      </c>
      <c r="K26" s="146">
        <f>K18</f>
        <v>4.08</v>
      </c>
      <c r="L26" s="56">
        <f t="shared" si="2"/>
        <v>60.75</v>
      </c>
      <c r="M26" s="58">
        <f t="shared" si="3"/>
        <v>668.56</v>
      </c>
    </row>
    <row r="27" spans="1:13" ht="15">
      <c r="A27" s="59"/>
      <c r="B27" s="60" t="s">
        <v>56</v>
      </c>
      <c r="C27" s="99" t="s">
        <v>61</v>
      </c>
      <c r="D27" s="61" t="s">
        <v>11</v>
      </c>
      <c r="E27" s="62">
        <v>1.015</v>
      </c>
      <c r="F27" s="56">
        <f>$F$26*E27</f>
        <v>15.11</v>
      </c>
      <c r="G27" s="146">
        <f aca="true" t="shared" si="5" ref="G27:G33">G19</f>
        <v>44.97</v>
      </c>
      <c r="H27" s="56">
        <f t="shared" si="0"/>
        <v>679.5</v>
      </c>
      <c r="I27" s="57"/>
      <c r="J27" s="56">
        <f t="shared" si="1"/>
        <v>0</v>
      </c>
      <c r="K27" s="57"/>
      <c r="L27" s="56">
        <f t="shared" si="2"/>
        <v>0</v>
      </c>
      <c r="M27" s="58">
        <f t="shared" si="3"/>
        <v>679.5</v>
      </c>
    </row>
    <row r="28" spans="1:13" ht="15">
      <c r="A28" s="59"/>
      <c r="B28" s="60" t="s">
        <v>29</v>
      </c>
      <c r="C28" s="99" t="s">
        <v>43</v>
      </c>
      <c r="D28" s="61" t="s">
        <v>15</v>
      </c>
      <c r="E28" s="62">
        <v>0.32</v>
      </c>
      <c r="F28" s="56">
        <f>$F$26*E28</f>
        <v>4.76</v>
      </c>
      <c r="G28" s="146">
        <f t="shared" si="5"/>
        <v>8.65</v>
      </c>
      <c r="H28" s="56">
        <f t="shared" si="0"/>
        <v>41.17</v>
      </c>
      <c r="I28" s="57"/>
      <c r="J28" s="56">
        <f t="shared" si="1"/>
        <v>0</v>
      </c>
      <c r="K28" s="57"/>
      <c r="L28" s="56">
        <f t="shared" si="2"/>
        <v>0</v>
      </c>
      <c r="M28" s="58">
        <f t="shared" si="3"/>
        <v>41.17</v>
      </c>
    </row>
    <row r="29" spans="1:13" ht="15">
      <c r="A29" s="59"/>
      <c r="B29" s="60" t="s">
        <v>37</v>
      </c>
      <c r="C29" s="60" t="s">
        <v>42</v>
      </c>
      <c r="D29" s="61" t="s">
        <v>11</v>
      </c>
      <c r="E29" s="117">
        <v>0.011</v>
      </c>
      <c r="F29" s="56">
        <f>$F$26*E29</f>
        <v>0.16</v>
      </c>
      <c r="G29" s="146">
        <f t="shared" si="5"/>
        <v>475.61</v>
      </c>
      <c r="H29" s="56">
        <f t="shared" si="0"/>
        <v>76.1</v>
      </c>
      <c r="I29" s="57"/>
      <c r="J29" s="56">
        <f t="shared" si="1"/>
        <v>0</v>
      </c>
      <c r="K29" s="57"/>
      <c r="L29" s="56">
        <f t="shared" si="2"/>
        <v>0</v>
      </c>
      <c r="M29" s="58">
        <f t="shared" si="3"/>
        <v>76.1</v>
      </c>
    </row>
    <row r="30" spans="1:13" ht="15">
      <c r="A30" s="59"/>
      <c r="B30" s="60" t="s">
        <v>30</v>
      </c>
      <c r="C30" s="99" t="s">
        <v>44</v>
      </c>
      <c r="D30" s="61" t="s">
        <v>12</v>
      </c>
      <c r="E30" s="62">
        <v>2.5</v>
      </c>
      <c r="F30" s="56">
        <f>$F$26*E30</f>
        <v>37.23</v>
      </c>
      <c r="G30" s="146">
        <f t="shared" si="5"/>
        <v>1.02</v>
      </c>
      <c r="H30" s="56">
        <f t="shared" si="0"/>
        <v>37.97</v>
      </c>
      <c r="I30" s="57"/>
      <c r="J30" s="56">
        <f t="shared" si="1"/>
        <v>0</v>
      </c>
      <c r="K30" s="57"/>
      <c r="L30" s="56">
        <f t="shared" si="2"/>
        <v>0</v>
      </c>
      <c r="M30" s="58">
        <f t="shared" si="3"/>
        <v>37.97</v>
      </c>
    </row>
    <row r="31" spans="1:13" ht="15">
      <c r="A31" s="59"/>
      <c r="B31" s="60" t="s">
        <v>38</v>
      </c>
      <c r="C31" s="99" t="s">
        <v>47</v>
      </c>
      <c r="D31" s="61" t="s">
        <v>35</v>
      </c>
      <c r="E31" s="62">
        <v>1.03</v>
      </c>
      <c r="F31" s="56">
        <f>((54.47+14.27+13.94+5.31+4.8)/1000)*E31</f>
        <v>0.1</v>
      </c>
      <c r="G31" s="146">
        <f t="shared" si="5"/>
        <v>0</v>
      </c>
      <c r="H31" s="56">
        <f t="shared" si="0"/>
        <v>0</v>
      </c>
      <c r="I31" s="146">
        <f>I23</f>
        <v>0</v>
      </c>
      <c r="J31" s="56">
        <f t="shared" si="1"/>
        <v>0</v>
      </c>
      <c r="K31" s="57"/>
      <c r="L31" s="56">
        <f t="shared" si="2"/>
        <v>0</v>
      </c>
      <c r="M31" s="58">
        <f t="shared" si="3"/>
        <v>0</v>
      </c>
    </row>
    <row r="32" spans="1:13" ht="15">
      <c r="A32" s="59"/>
      <c r="B32" s="60" t="s">
        <v>39</v>
      </c>
      <c r="C32" s="99" t="s">
        <v>45</v>
      </c>
      <c r="D32" s="61" t="s">
        <v>35</v>
      </c>
      <c r="E32" s="62">
        <v>1.03</v>
      </c>
      <c r="F32" s="56">
        <f>((622.14+236.41+93.32+826.56+255.77+37.92+34.84)/1000)*E32</f>
        <v>2.17</v>
      </c>
      <c r="G32" s="146">
        <f t="shared" si="5"/>
        <v>0</v>
      </c>
      <c r="H32" s="56">
        <f t="shared" si="0"/>
        <v>0</v>
      </c>
      <c r="I32" s="146">
        <f>I31</f>
        <v>0</v>
      </c>
      <c r="J32" s="56">
        <f t="shared" si="1"/>
        <v>0</v>
      </c>
      <c r="K32" s="57"/>
      <c r="L32" s="56">
        <f t="shared" si="2"/>
        <v>0</v>
      </c>
      <c r="M32" s="58">
        <f t="shared" si="3"/>
        <v>0</v>
      </c>
    </row>
    <row r="33" spans="1:13" ht="15">
      <c r="A33" s="100"/>
      <c r="B33" s="60" t="s">
        <v>28</v>
      </c>
      <c r="C33" s="99" t="s">
        <v>46</v>
      </c>
      <c r="D33" s="61"/>
      <c r="E33" s="57">
        <v>0.13</v>
      </c>
      <c r="F33" s="56">
        <f>$F$26*E33</f>
        <v>1.94</v>
      </c>
      <c r="G33" s="146">
        <f t="shared" si="5"/>
        <v>2.04</v>
      </c>
      <c r="H33" s="56">
        <f t="shared" si="0"/>
        <v>3.96</v>
      </c>
      <c r="I33" s="57"/>
      <c r="J33" s="56">
        <f t="shared" si="1"/>
        <v>0</v>
      </c>
      <c r="K33" s="57"/>
      <c r="L33" s="56">
        <f t="shared" si="2"/>
        <v>0</v>
      </c>
      <c r="M33" s="58">
        <f t="shared" si="3"/>
        <v>3.96</v>
      </c>
    </row>
    <row r="34" spans="1:13" s="1" customFormat="1" ht="30">
      <c r="A34" s="59">
        <v>4</v>
      </c>
      <c r="B34" s="119" t="s">
        <v>36</v>
      </c>
      <c r="C34" s="119" t="s">
        <v>64</v>
      </c>
      <c r="D34" s="56" t="s">
        <v>11</v>
      </c>
      <c r="E34" s="56"/>
      <c r="F34" s="120">
        <f>3.3</f>
        <v>3.3</v>
      </c>
      <c r="G34" s="57"/>
      <c r="H34" s="56">
        <f t="shared" si="0"/>
        <v>0</v>
      </c>
      <c r="I34" s="146">
        <f>'Unit Price Assumptions'!D20</f>
        <v>40.82</v>
      </c>
      <c r="J34" s="56">
        <f t="shared" si="1"/>
        <v>134.71</v>
      </c>
      <c r="K34" s="146">
        <f>K26</f>
        <v>4.08</v>
      </c>
      <c r="L34" s="56">
        <f t="shared" si="2"/>
        <v>13.46</v>
      </c>
      <c r="M34" s="58">
        <f t="shared" si="3"/>
        <v>148.17</v>
      </c>
    </row>
    <row r="35" spans="1:13" ht="15">
      <c r="A35" s="59"/>
      <c r="B35" s="60" t="s">
        <v>56</v>
      </c>
      <c r="C35" s="99" t="s">
        <v>61</v>
      </c>
      <c r="D35" s="61" t="s">
        <v>11</v>
      </c>
      <c r="E35" s="62">
        <v>1.015</v>
      </c>
      <c r="F35" s="56">
        <f>$F$34*E35</f>
        <v>3.35</v>
      </c>
      <c r="G35" s="146">
        <f>G27</f>
        <v>44.97</v>
      </c>
      <c r="H35" s="56">
        <f t="shared" si="0"/>
        <v>150.65</v>
      </c>
      <c r="I35" s="57"/>
      <c r="J35" s="56">
        <f t="shared" si="1"/>
        <v>0</v>
      </c>
      <c r="K35" s="57"/>
      <c r="L35" s="56">
        <f t="shared" si="2"/>
        <v>0</v>
      </c>
      <c r="M35" s="58">
        <f t="shared" si="3"/>
        <v>150.65</v>
      </c>
    </row>
    <row r="36" spans="1:13" ht="15">
      <c r="A36" s="59"/>
      <c r="B36" s="60" t="s">
        <v>29</v>
      </c>
      <c r="C36" s="99" t="s">
        <v>43</v>
      </c>
      <c r="D36" s="61" t="s">
        <v>15</v>
      </c>
      <c r="E36" s="62">
        <v>0.58</v>
      </c>
      <c r="F36" s="56">
        <f>$F$34*E36</f>
        <v>1.91</v>
      </c>
      <c r="G36" s="146">
        <f>G28</f>
        <v>8.65</v>
      </c>
      <c r="H36" s="56">
        <f t="shared" si="0"/>
        <v>16.52</v>
      </c>
      <c r="I36" s="57"/>
      <c r="J36" s="56">
        <f t="shared" si="1"/>
        <v>0</v>
      </c>
      <c r="K36" s="57"/>
      <c r="L36" s="56">
        <f t="shared" si="2"/>
        <v>0</v>
      </c>
      <c r="M36" s="58">
        <f t="shared" si="3"/>
        <v>16.52</v>
      </c>
    </row>
    <row r="37" spans="1:13" ht="15">
      <c r="A37" s="59"/>
      <c r="B37" s="60" t="s">
        <v>34</v>
      </c>
      <c r="C37" s="99" t="s">
        <v>48</v>
      </c>
      <c r="D37" s="61" t="s">
        <v>11</v>
      </c>
      <c r="E37" s="62">
        <v>0.02</v>
      </c>
      <c r="F37" s="56">
        <f>$F$34*E37</f>
        <v>0.07</v>
      </c>
      <c r="G37" s="146">
        <f>'Unit Price Assumptions'!C14</f>
        <v>224.84</v>
      </c>
      <c r="H37" s="56">
        <f t="shared" si="0"/>
        <v>15.74</v>
      </c>
      <c r="I37" s="57"/>
      <c r="J37" s="56">
        <f t="shared" si="1"/>
        <v>0</v>
      </c>
      <c r="K37" s="57"/>
      <c r="L37" s="56">
        <f t="shared" si="2"/>
        <v>0</v>
      </c>
      <c r="M37" s="58">
        <f t="shared" si="3"/>
        <v>15.74</v>
      </c>
    </row>
    <row r="38" spans="1:13" ht="15">
      <c r="A38" s="59"/>
      <c r="B38" s="60" t="s">
        <v>30</v>
      </c>
      <c r="C38" s="99" t="s">
        <v>44</v>
      </c>
      <c r="D38" s="61" t="s">
        <v>12</v>
      </c>
      <c r="E38" s="62">
        <v>2.5</v>
      </c>
      <c r="F38" s="56">
        <f>$F$34*E38</f>
        <v>8.25</v>
      </c>
      <c r="G38" s="146">
        <f>'Unit Price Assumptions'!C15</f>
        <v>1.02</v>
      </c>
      <c r="H38" s="56">
        <f t="shared" si="0"/>
        <v>8.42</v>
      </c>
      <c r="I38" s="57"/>
      <c r="J38" s="56">
        <f t="shared" si="1"/>
        <v>0</v>
      </c>
      <c r="K38" s="57"/>
      <c r="L38" s="56">
        <f t="shared" si="2"/>
        <v>0</v>
      </c>
      <c r="M38" s="58">
        <f t="shared" si="3"/>
        <v>8.42</v>
      </c>
    </row>
    <row r="39" spans="1:13" ht="15">
      <c r="A39" s="59"/>
      <c r="B39" s="60" t="s">
        <v>38</v>
      </c>
      <c r="C39" s="99" t="s">
        <v>47</v>
      </c>
      <c r="D39" s="61" t="s">
        <v>35</v>
      </c>
      <c r="E39" s="62">
        <v>1.03</v>
      </c>
      <c r="F39" s="56">
        <f>0.01*E39</f>
        <v>0.01</v>
      </c>
      <c r="G39" s="146">
        <f>G31</f>
        <v>0</v>
      </c>
      <c r="H39" s="56">
        <f t="shared" si="0"/>
        <v>0</v>
      </c>
      <c r="I39" s="146">
        <f>I31</f>
        <v>0</v>
      </c>
      <c r="J39" s="56">
        <f t="shared" si="1"/>
        <v>0</v>
      </c>
      <c r="K39" s="57"/>
      <c r="L39" s="56">
        <f t="shared" si="2"/>
        <v>0</v>
      </c>
      <c r="M39" s="58">
        <f t="shared" si="3"/>
        <v>0</v>
      </c>
    </row>
    <row r="40" spans="1:13" ht="15">
      <c r="A40" s="59"/>
      <c r="B40" s="60" t="s">
        <v>39</v>
      </c>
      <c r="C40" s="99" t="s">
        <v>45</v>
      </c>
      <c r="D40" s="61" t="s">
        <v>35</v>
      </c>
      <c r="E40" s="62">
        <v>1.03</v>
      </c>
      <c r="F40" s="56">
        <f>0.28*E40</f>
        <v>0.29</v>
      </c>
      <c r="G40" s="146">
        <f aca="true" t="shared" si="6" ref="G40:G41">G32</f>
        <v>0</v>
      </c>
      <c r="H40" s="56">
        <f t="shared" si="0"/>
        <v>0</v>
      </c>
      <c r="I40" s="146">
        <f>I32</f>
        <v>0</v>
      </c>
      <c r="J40" s="56">
        <f t="shared" si="1"/>
        <v>0</v>
      </c>
      <c r="K40" s="57"/>
      <c r="L40" s="56">
        <f t="shared" si="2"/>
        <v>0</v>
      </c>
      <c r="M40" s="58">
        <f t="shared" si="3"/>
        <v>0</v>
      </c>
    </row>
    <row r="41" spans="1:13" ht="15.75" thickBot="1">
      <c r="A41" s="100"/>
      <c r="B41" s="60" t="s">
        <v>28</v>
      </c>
      <c r="C41" s="99" t="s">
        <v>46</v>
      </c>
      <c r="D41" s="61"/>
      <c r="E41" s="57">
        <v>0.39</v>
      </c>
      <c r="F41" s="56">
        <f>$F$34*E41</f>
        <v>1.29</v>
      </c>
      <c r="G41" s="146">
        <f t="shared" si="6"/>
        <v>2.04</v>
      </c>
      <c r="H41" s="56">
        <f t="shared" si="0"/>
        <v>2.63</v>
      </c>
      <c r="I41" s="57"/>
      <c r="J41" s="56">
        <f t="shared" si="1"/>
        <v>0</v>
      </c>
      <c r="K41" s="57"/>
      <c r="L41" s="56">
        <f t="shared" si="2"/>
        <v>0</v>
      </c>
      <c r="M41" s="58">
        <f t="shared" si="3"/>
        <v>2.63</v>
      </c>
    </row>
    <row r="42" spans="2:14" ht="15.75" thickBot="1">
      <c r="B42" s="42"/>
      <c r="C42" s="42"/>
      <c r="D42" s="63"/>
      <c r="E42" s="42"/>
      <c r="F42" s="101"/>
      <c r="G42" s="40"/>
      <c r="H42" s="66">
        <f>SUM(H10:H41)</f>
        <v>16480.26</v>
      </c>
      <c r="I42" s="67"/>
      <c r="J42" s="68">
        <f>SUM(J10:J41)</f>
        <v>11881.48</v>
      </c>
      <c r="K42" s="67"/>
      <c r="L42" s="68">
        <f>SUM(L10:L41)</f>
        <v>1187.56</v>
      </c>
      <c r="M42" s="67">
        <f>SUM(M10:M41)</f>
        <v>29549.3</v>
      </c>
      <c r="N42" s="7"/>
    </row>
    <row r="43" spans="1:14" s="2" customFormat="1" ht="15" customHeight="1">
      <c r="A43" s="39"/>
      <c r="B43" s="39"/>
      <c r="C43" s="39"/>
      <c r="D43" s="39"/>
      <c r="E43" s="39"/>
      <c r="F43" s="70"/>
      <c r="G43" s="71"/>
      <c r="H43" s="223" t="s">
        <v>26</v>
      </c>
      <c r="I43" s="224"/>
      <c r="J43" s="72"/>
      <c r="K43" s="82">
        <f>'-10.430'!$K$20</f>
        <v>0.08</v>
      </c>
      <c r="L43" s="72"/>
      <c r="M43" s="74">
        <f>M42*K43</f>
        <v>2363.94</v>
      </c>
      <c r="N43" s="5"/>
    </row>
    <row r="44" spans="1:14" s="2" customFormat="1" ht="15" customHeight="1" thickBot="1">
      <c r="A44" s="39"/>
      <c r="B44" s="39"/>
      <c r="C44" s="39"/>
      <c r="D44" s="75"/>
      <c r="E44" s="76"/>
      <c r="F44" s="70"/>
      <c r="G44" s="70"/>
      <c r="H44" s="225" t="s">
        <v>27</v>
      </c>
      <c r="I44" s="226"/>
      <c r="J44" s="77"/>
      <c r="K44" s="78" t="str">
        <f>K46</f>
        <v>USD</v>
      </c>
      <c r="L44" s="77"/>
      <c r="M44" s="79">
        <f>M42+M43</f>
        <v>31913.24</v>
      </c>
      <c r="N44" s="5"/>
    </row>
    <row r="45" spans="1:14" s="2" customFormat="1" ht="15">
      <c r="A45" s="39"/>
      <c r="B45" s="39"/>
      <c r="C45" s="122"/>
      <c r="D45" s="75"/>
      <c r="E45" s="76"/>
      <c r="F45" s="70"/>
      <c r="G45" s="71"/>
      <c r="H45" s="223" t="s">
        <v>66</v>
      </c>
      <c r="I45" s="224"/>
      <c r="J45" s="72"/>
      <c r="K45" s="82">
        <f>'-10.430'!$K$22</f>
        <v>0.08</v>
      </c>
      <c r="L45" s="72"/>
      <c r="M45" s="74">
        <f>M44*K45</f>
        <v>2553.06</v>
      </c>
      <c r="N45" s="5"/>
    </row>
    <row r="46" spans="1:14" s="2" customFormat="1" ht="15.75" thickBot="1">
      <c r="A46" s="39"/>
      <c r="B46" s="39"/>
      <c r="C46" s="39"/>
      <c r="D46" s="75"/>
      <c r="E46" s="76"/>
      <c r="F46" s="80"/>
      <c r="G46" s="71"/>
      <c r="H46" s="225" t="s">
        <v>27</v>
      </c>
      <c r="I46" s="226"/>
      <c r="J46" s="77"/>
      <c r="K46" s="81" t="s">
        <v>19</v>
      </c>
      <c r="L46" s="77"/>
      <c r="M46" s="79">
        <f>M44+M45</f>
        <v>34466.3</v>
      </c>
      <c r="N46" s="5"/>
    </row>
    <row r="47" spans="1:14" s="2" customFormat="1" ht="15">
      <c r="A47" s="39"/>
      <c r="B47" s="39"/>
      <c r="C47" s="39"/>
      <c r="D47" s="39"/>
      <c r="E47" s="39"/>
      <c r="F47" s="39"/>
      <c r="G47" s="71"/>
      <c r="H47" s="219" t="s">
        <v>33</v>
      </c>
      <c r="I47" s="220"/>
      <c r="J47" s="72"/>
      <c r="K47" s="82">
        <v>0.18</v>
      </c>
      <c r="L47" s="72"/>
      <c r="M47" s="74">
        <f>M46*K47</f>
        <v>6203.93</v>
      </c>
      <c r="N47" s="5"/>
    </row>
    <row r="48" spans="1:14" s="2" customFormat="1" ht="15.75" thickBot="1">
      <c r="A48" s="39"/>
      <c r="B48" s="39"/>
      <c r="C48" s="39"/>
      <c r="D48" s="39"/>
      <c r="E48" s="39"/>
      <c r="F48" s="39"/>
      <c r="G48" s="71"/>
      <c r="H48" s="221" t="s">
        <v>25</v>
      </c>
      <c r="I48" s="222"/>
      <c r="J48" s="77"/>
      <c r="K48" s="83" t="s">
        <v>19</v>
      </c>
      <c r="L48" s="77"/>
      <c r="M48" s="79">
        <f>M46+M47</f>
        <v>40670.23</v>
      </c>
      <c r="N48" s="5"/>
    </row>
  </sheetData>
  <mergeCells count="20">
    <mergeCell ref="B9:C9"/>
    <mergeCell ref="G7:H7"/>
    <mergeCell ref="A7:A8"/>
    <mergeCell ref="B7:B8"/>
    <mergeCell ref="C7:C8"/>
    <mergeCell ref="D7:D8"/>
    <mergeCell ref="E7:F7"/>
    <mergeCell ref="K2:M2"/>
    <mergeCell ref="D3:I3"/>
    <mergeCell ref="D4:I4"/>
    <mergeCell ref="D5:I5"/>
    <mergeCell ref="H48:I48"/>
    <mergeCell ref="H43:I43"/>
    <mergeCell ref="H44:I44"/>
    <mergeCell ref="H45:I45"/>
    <mergeCell ref="H46:I46"/>
    <mergeCell ref="H47:I47"/>
    <mergeCell ref="I7:J7"/>
    <mergeCell ref="K7:L7"/>
    <mergeCell ref="M7:M8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PageLayoutView="115" workbookViewId="0" topLeftCell="B3">
      <selection activeCell="E26" sqref="E26"/>
    </sheetView>
  </sheetViews>
  <sheetFormatPr defaultColWidth="8.8515625" defaultRowHeight="15"/>
  <cols>
    <col min="1" max="1" width="3.28125" style="44" customWidth="1"/>
    <col min="2" max="2" width="37.8515625" style="46" customWidth="1"/>
    <col min="3" max="3" width="41.57421875" style="46" customWidth="1"/>
    <col min="4" max="4" width="6.8515625" style="44" customWidth="1"/>
    <col min="5" max="5" width="12.0039062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10.00390625" style="44" customWidth="1"/>
    <col min="10" max="10" width="11.8515625" style="44" bestFit="1" customWidth="1"/>
    <col min="11" max="11" width="12.421875" style="44" bestFit="1" customWidth="1"/>
    <col min="12" max="12" width="16.57421875" style="44" bestFit="1" customWidth="1"/>
    <col min="13" max="13" width="14.57421875" style="31" bestFit="1" customWidth="1"/>
    <col min="14" max="16384" width="8.8515625" style="4" customWidth="1"/>
  </cols>
  <sheetData>
    <row r="1" spans="1:13" ht="15">
      <c r="A1" s="42"/>
      <c r="B1" s="42"/>
      <c r="C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227" t="s">
        <v>18</v>
      </c>
      <c r="L2" s="228"/>
      <c r="M2" s="229"/>
    </row>
    <row r="3" spans="1:13" ht="21" customHeight="1">
      <c r="A3" s="63"/>
      <c r="B3" s="42"/>
      <c r="C3" s="42"/>
      <c r="D3" s="241"/>
      <c r="E3" s="241"/>
      <c r="F3" s="241"/>
      <c r="G3" s="241"/>
      <c r="H3" s="241"/>
      <c r="I3" s="241"/>
      <c r="J3" s="42"/>
      <c r="K3" s="89" t="s">
        <v>19</v>
      </c>
      <c r="L3" s="89" t="s">
        <v>40</v>
      </c>
      <c r="M3" s="57" t="str">
        <f ca="1">'+10.870'!M3</f>
        <v>US $  Rate</v>
      </c>
    </row>
    <row r="4" spans="1:13" ht="21">
      <c r="A4" s="42"/>
      <c r="B4" s="110" t="s">
        <v>69</v>
      </c>
      <c r="C4" s="42"/>
      <c r="D4" s="241"/>
      <c r="E4" s="241"/>
      <c r="F4" s="241"/>
      <c r="G4" s="241"/>
      <c r="H4" s="241"/>
      <c r="I4" s="241"/>
      <c r="J4" s="42"/>
      <c r="K4" s="26">
        <f>M37</f>
        <v>17062.15</v>
      </c>
      <c r="L4" s="121">
        <f>K4*M4</f>
        <v>41802.27</v>
      </c>
      <c r="M4" s="91">
        <f>'Unit Price Assumptions'!D4</f>
        <v>2.45</v>
      </c>
    </row>
    <row r="5" spans="1:13" ht="15">
      <c r="A5" s="42"/>
      <c r="B5" s="42"/>
      <c r="C5" s="42"/>
      <c r="D5" s="241"/>
      <c r="E5" s="241"/>
      <c r="F5" s="241"/>
      <c r="G5" s="241"/>
      <c r="H5" s="241"/>
      <c r="I5" s="241"/>
      <c r="J5" s="42"/>
      <c r="K5" s="43"/>
      <c r="L5" s="43"/>
      <c r="M5" s="30"/>
    </row>
    <row r="6" spans="1:13" ht="15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spans="1:13" ht="15.75" customHeight="1">
      <c r="A7" s="241"/>
      <c r="B7" s="241"/>
      <c r="C7" s="241"/>
      <c r="D7" s="241"/>
      <c r="E7" s="241"/>
      <c r="F7" s="241"/>
      <c r="G7" s="241"/>
      <c r="H7" s="40"/>
      <c r="I7" s="40"/>
      <c r="J7" s="40"/>
      <c r="K7" s="40"/>
      <c r="L7" s="43"/>
      <c r="M7" s="30"/>
    </row>
    <row r="8" spans="1:13" ht="11.1" customHeight="1">
      <c r="A8" s="244"/>
      <c r="B8" s="244"/>
      <c r="C8" s="244"/>
      <c r="D8" s="244"/>
      <c r="E8" s="244"/>
      <c r="F8" s="244"/>
      <c r="G8" s="244"/>
      <c r="H8" s="40"/>
      <c r="I8" s="40"/>
      <c r="J8" s="40"/>
      <c r="K8" s="40"/>
      <c r="L8" s="43"/>
      <c r="M8" s="30"/>
    </row>
    <row r="9" spans="1:7" ht="10.5" customHeight="1" thickBot="1">
      <c r="A9" s="98"/>
      <c r="B9" s="98"/>
      <c r="C9" s="98"/>
      <c r="D9" s="98"/>
      <c r="E9" s="98"/>
      <c r="F9" s="98"/>
      <c r="G9" s="98"/>
    </row>
    <row r="10" ht="15.75" hidden="1" thickBot="1"/>
    <row r="11" ht="15.75" hidden="1" thickBot="1"/>
    <row r="12" spans="1:13" ht="24.75" customHeight="1">
      <c r="A12" s="231" t="s">
        <v>96</v>
      </c>
      <c r="B12" s="233" t="s">
        <v>20</v>
      </c>
      <c r="C12" s="235" t="s">
        <v>41</v>
      </c>
      <c r="D12" s="237" t="s">
        <v>31</v>
      </c>
      <c r="E12" s="217" t="s">
        <v>21</v>
      </c>
      <c r="F12" s="218"/>
      <c r="G12" s="217" t="s">
        <v>22</v>
      </c>
      <c r="H12" s="218"/>
      <c r="I12" s="217" t="s">
        <v>23</v>
      </c>
      <c r="J12" s="218"/>
      <c r="K12" s="217" t="s">
        <v>24</v>
      </c>
      <c r="L12" s="218"/>
      <c r="M12" s="239" t="s">
        <v>18</v>
      </c>
    </row>
    <row r="13" spans="1:13" ht="46.5" customHeight="1">
      <c r="A13" s="232"/>
      <c r="B13" s="234"/>
      <c r="C13" s="236"/>
      <c r="D13" s="238"/>
      <c r="E13" s="47" t="s">
        <v>114</v>
      </c>
      <c r="F13" s="48" t="s">
        <v>18</v>
      </c>
      <c r="G13" s="47" t="s">
        <v>103</v>
      </c>
      <c r="H13" s="48" t="s">
        <v>18</v>
      </c>
      <c r="I13" s="47" t="s">
        <v>103</v>
      </c>
      <c r="J13" s="48" t="s">
        <v>18</v>
      </c>
      <c r="K13" s="47" t="s">
        <v>103</v>
      </c>
      <c r="L13" s="48" t="s">
        <v>18</v>
      </c>
      <c r="M13" s="240"/>
    </row>
    <row r="14" spans="1:13" ht="15">
      <c r="A14" s="49" t="s">
        <v>1</v>
      </c>
      <c r="B14" s="215" t="s">
        <v>13</v>
      </c>
      <c r="C14" s="216"/>
      <c r="D14" s="50" t="s">
        <v>2</v>
      </c>
      <c r="E14" s="51" t="s">
        <v>3</v>
      </c>
      <c r="F14" s="52" t="s">
        <v>14</v>
      </c>
      <c r="G14" s="51" t="s">
        <v>4</v>
      </c>
      <c r="H14" s="50" t="s">
        <v>5</v>
      </c>
      <c r="I14" s="51" t="s">
        <v>6</v>
      </c>
      <c r="J14" s="52" t="s">
        <v>7</v>
      </c>
      <c r="K14" s="51" t="s">
        <v>8</v>
      </c>
      <c r="L14" s="53" t="s">
        <v>9</v>
      </c>
      <c r="M14" s="54" t="s">
        <v>10</v>
      </c>
    </row>
    <row r="15" spans="1:16" s="1" customFormat="1" ht="33.75" customHeight="1">
      <c r="A15" s="59">
        <v>1</v>
      </c>
      <c r="B15" s="119" t="s">
        <v>59</v>
      </c>
      <c r="C15" s="119" t="s">
        <v>60</v>
      </c>
      <c r="D15" s="56" t="s">
        <v>11</v>
      </c>
      <c r="E15" s="56"/>
      <c r="F15" s="120">
        <f>38.78+161.8</f>
        <v>200.58</v>
      </c>
      <c r="G15" s="57"/>
      <c r="H15" s="56">
        <f>F15*G15</f>
        <v>0</v>
      </c>
      <c r="I15" s="146">
        <f>'Unit Price Assumptions'!D8</f>
        <v>0</v>
      </c>
      <c r="J15" s="56">
        <f>F15*I15</f>
        <v>0</v>
      </c>
      <c r="K15" s="146">
        <f>'Unit Price Assumptions'!D21</f>
        <v>4.08</v>
      </c>
      <c r="L15" s="56">
        <f>F15*K15</f>
        <v>818.37</v>
      </c>
      <c r="M15" s="58">
        <f>H15+J15+L15</f>
        <v>818.37</v>
      </c>
      <c r="O15" s="8"/>
      <c r="P15" s="9"/>
    </row>
    <row r="16" spans="1:16" ht="15">
      <c r="A16" s="59"/>
      <c r="B16" s="60" t="s">
        <v>56</v>
      </c>
      <c r="C16" s="60" t="s">
        <v>61</v>
      </c>
      <c r="D16" s="61" t="s">
        <v>11</v>
      </c>
      <c r="E16" s="62">
        <v>1.015</v>
      </c>
      <c r="F16" s="56">
        <f>$F$15*E16</f>
        <v>203.59</v>
      </c>
      <c r="G16" s="146">
        <f>'Unit Price Assumptions'!C8</f>
        <v>44.97</v>
      </c>
      <c r="H16" s="56">
        <f aca="true" t="shared" si="0" ref="H16:H30">F16*G16</f>
        <v>9155.44</v>
      </c>
      <c r="I16" s="57"/>
      <c r="J16" s="56">
        <f aca="true" t="shared" si="1" ref="J16:J30">F16*I16</f>
        <v>0</v>
      </c>
      <c r="K16" s="57"/>
      <c r="L16" s="56">
        <f aca="true" t="shared" si="2" ref="L16:L30">F16*K16</f>
        <v>0</v>
      </c>
      <c r="M16" s="58">
        <f aca="true" t="shared" si="3" ref="M16:M30">H16+J16+L16</f>
        <v>9155.44</v>
      </c>
      <c r="O16" s="8"/>
      <c r="P16" s="6"/>
    </row>
    <row r="17" spans="1:16" ht="15">
      <c r="A17" s="59"/>
      <c r="B17" s="60" t="s">
        <v>29</v>
      </c>
      <c r="C17" s="60" t="s">
        <v>43</v>
      </c>
      <c r="D17" s="61" t="s">
        <v>15</v>
      </c>
      <c r="E17" s="62">
        <v>0.3</v>
      </c>
      <c r="F17" s="56">
        <f>$F$15*E17</f>
        <v>60.17</v>
      </c>
      <c r="G17" s="146">
        <f>'Unit Price Assumptions'!C12</f>
        <v>8.65</v>
      </c>
      <c r="H17" s="56">
        <f t="shared" si="0"/>
        <v>520.47</v>
      </c>
      <c r="I17" s="57"/>
      <c r="J17" s="56">
        <f t="shared" si="1"/>
        <v>0</v>
      </c>
      <c r="K17" s="57"/>
      <c r="L17" s="56">
        <f t="shared" si="2"/>
        <v>0</v>
      </c>
      <c r="M17" s="58">
        <f t="shared" si="3"/>
        <v>520.47</v>
      </c>
      <c r="O17" s="8"/>
      <c r="P17" s="6"/>
    </row>
    <row r="18" spans="1:16" ht="15">
      <c r="A18" s="59"/>
      <c r="B18" s="60" t="s">
        <v>37</v>
      </c>
      <c r="C18" s="60" t="s">
        <v>42</v>
      </c>
      <c r="D18" s="61" t="s">
        <v>11</v>
      </c>
      <c r="E18" s="62">
        <v>0.011</v>
      </c>
      <c r="F18" s="56">
        <f>$F$15*E18</f>
        <v>2.21</v>
      </c>
      <c r="G18" s="146">
        <f>'Unit Price Assumptions'!C13</f>
        <v>475.61</v>
      </c>
      <c r="H18" s="56">
        <f t="shared" si="0"/>
        <v>1051.1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1051.1</v>
      </c>
      <c r="P18" s="6"/>
    </row>
    <row r="19" spans="1:16" ht="15">
      <c r="A19" s="59"/>
      <c r="B19" s="60" t="s">
        <v>30</v>
      </c>
      <c r="C19" s="60" t="s">
        <v>44</v>
      </c>
      <c r="D19" s="61" t="s">
        <v>12</v>
      </c>
      <c r="E19" s="62">
        <v>2.5</v>
      </c>
      <c r="F19" s="56">
        <f>$F$15*E19</f>
        <v>501.45</v>
      </c>
      <c r="G19" s="146">
        <f>'Unit Price Assumptions'!C15</f>
        <v>1.02</v>
      </c>
      <c r="H19" s="56">
        <f t="shared" si="0"/>
        <v>511.48</v>
      </c>
      <c r="I19" s="57"/>
      <c r="J19" s="56">
        <f t="shared" si="1"/>
        <v>0</v>
      </c>
      <c r="K19" s="57"/>
      <c r="L19" s="56">
        <f t="shared" si="2"/>
        <v>0</v>
      </c>
      <c r="M19" s="58">
        <f t="shared" si="3"/>
        <v>511.48</v>
      </c>
      <c r="P19" s="6"/>
    </row>
    <row r="20" spans="1:16" ht="15">
      <c r="A20" s="59"/>
      <c r="B20" s="60" t="s">
        <v>38</v>
      </c>
      <c r="C20" s="60" t="s">
        <v>47</v>
      </c>
      <c r="D20" s="61" t="s">
        <v>35</v>
      </c>
      <c r="E20" s="62">
        <v>1.03</v>
      </c>
      <c r="F20" s="56">
        <f>((245.3+220.26+2636)/1000)*E20</f>
        <v>3.19</v>
      </c>
      <c r="G20" s="146">
        <f>'Unit Price Assumptions'!C10</f>
        <v>0</v>
      </c>
      <c r="H20" s="56">
        <f t="shared" si="0"/>
        <v>0</v>
      </c>
      <c r="I20" s="146">
        <f>'Unit Price Assumptions'!D10</f>
        <v>0</v>
      </c>
      <c r="J20" s="56">
        <f t="shared" si="1"/>
        <v>0</v>
      </c>
      <c r="K20" s="57"/>
      <c r="L20" s="56">
        <f t="shared" si="2"/>
        <v>0</v>
      </c>
      <c r="M20" s="58">
        <f t="shared" si="3"/>
        <v>0</v>
      </c>
      <c r="P20" s="6"/>
    </row>
    <row r="21" spans="1:13" ht="15">
      <c r="A21" s="59"/>
      <c r="B21" s="60" t="s">
        <v>39</v>
      </c>
      <c r="C21" s="60" t="s">
        <v>45</v>
      </c>
      <c r="D21" s="61" t="s">
        <v>35</v>
      </c>
      <c r="E21" s="62">
        <v>1.03</v>
      </c>
      <c r="F21" s="56">
        <f>((6320+4937+7199+1283.7+425.8+59.2)/1000)*E21</f>
        <v>20.83</v>
      </c>
      <c r="G21" s="146">
        <f>'Unit Price Assumptions'!C11</f>
        <v>0</v>
      </c>
      <c r="H21" s="56">
        <f t="shared" si="0"/>
        <v>0</v>
      </c>
      <c r="I21" s="146">
        <f>'Unit Price Assumptions'!D11</f>
        <v>0</v>
      </c>
      <c r="J21" s="56">
        <f t="shared" si="1"/>
        <v>0</v>
      </c>
      <c r="K21" s="57"/>
      <c r="L21" s="56">
        <f t="shared" si="2"/>
        <v>0</v>
      </c>
      <c r="M21" s="58">
        <f t="shared" si="3"/>
        <v>0</v>
      </c>
    </row>
    <row r="22" spans="1:13" ht="15">
      <c r="A22" s="59"/>
      <c r="B22" s="60" t="s">
        <v>28</v>
      </c>
      <c r="C22" s="60" t="s">
        <v>46</v>
      </c>
      <c r="D22" s="61"/>
      <c r="E22" s="57">
        <v>0.16</v>
      </c>
      <c r="F22" s="56">
        <f>$F$15*E22</f>
        <v>32.09</v>
      </c>
      <c r="G22" s="146">
        <f>'Unit Price Assumptions'!C16</f>
        <v>2.04</v>
      </c>
      <c r="H22" s="56">
        <f t="shared" si="0"/>
        <v>65.46</v>
      </c>
      <c r="I22" s="57"/>
      <c r="J22" s="56">
        <f t="shared" si="1"/>
        <v>0</v>
      </c>
      <c r="K22" s="57"/>
      <c r="L22" s="56">
        <f t="shared" si="2"/>
        <v>0</v>
      </c>
      <c r="M22" s="58">
        <f t="shared" si="3"/>
        <v>65.46</v>
      </c>
    </row>
    <row r="23" spans="1:13" s="1" customFormat="1" ht="30">
      <c r="A23" s="59">
        <v>2</v>
      </c>
      <c r="B23" s="119" t="s">
        <v>62</v>
      </c>
      <c r="C23" s="119" t="s">
        <v>63</v>
      </c>
      <c r="D23" s="56" t="s">
        <v>11</v>
      </c>
      <c r="E23" s="56"/>
      <c r="F23" s="120">
        <f>2.63</f>
        <v>2.63</v>
      </c>
      <c r="G23" s="57"/>
      <c r="H23" s="56">
        <f t="shared" si="0"/>
        <v>0</v>
      </c>
      <c r="I23" s="146">
        <f>'Unit Price Assumptions'!D17</f>
        <v>40.82</v>
      </c>
      <c r="J23" s="56">
        <f t="shared" si="1"/>
        <v>107.36</v>
      </c>
      <c r="K23" s="146">
        <f>K15</f>
        <v>4.08</v>
      </c>
      <c r="L23" s="56">
        <f t="shared" si="2"/>
        <v>10.73</v>
      </c>
      <c r="M23" s="58">
        <f t="shared" si="3"/>
        <v>118.09</v>
      </c>
    </row>
    <row r="24" spans="1:13" ht="15">
      <c r="A24" s="59"/>
      <c r="B24" s="60" t="s">
        <v>56</v>
      </c>
      <c r="C24" s="99" t="s">
        <v>61</v>
      </c>
      <c r="D24" s="61" t="s">
        <v>11</v>
      </c>
      <c r="E24" s="62">
        <v>1.015</v>
      </c>
      <c r="F24" s="56">
        <f>$F$23*E24</f>
        <v>2.67</v>
      </c>
      <c r="G24" s="146">
        <f aca="true" t="shared" si="4" ref="G24:G30">G16</f>
        <v>44.97</v>
      </c>
      <c r="H24" s="56">
        <f t="shared" si="0"/>
        <v>120.07</v>
      </c>
      <c r="I24" s="57"/>
      <c r="J24" s="56">
        <f t="shared" si="1"/>
        <v>0</v>
      </c>
      <c r="K24" s="57"/>
      <c r="L24" s="56">
        <f t="shared" si="2"/>
        <v>0</v>
      </c>
      <c r="M24" s="58">
        <f t="shared" si="3"/>
        <v>120.07</v>
      </c>
    </row>
    <row r="25" spans="1:13" ht="15">
      <c r="A25" s="59"/>
      <c r="B25" s="60" t="s">
        <v>29</v>
      </c>
      <c r="C25" s="99" t="s">
        <v>43</v>
      </c>
      <c r="D25" s="61" t="s">
        <v>15</v>
      </c>
      <c r="E25" s="62">
        <v>0.61</v>
      </c>
      <c r="F25" s="56">
        <f>$F$23*E25</f>
        <v>1.6</v>
      </c>
      <c r="G25" s="146">
        <f t="shared" si="4"/>
        <v>8.65</v>
      </c>
      <c r="H25" s="56">
        <f t="shared" si="0"/>
        <v>13.84</v>
      </c>
      <c r="I25" s="57"/>
      <c r="J25" s="56">
        <f t="shared" si="1"/>
        <v>0</v>
      </c>
      <c r="K25" s="57"/>
      <c r="L25" s="56">
        <f t="shared" si="2"/>
        <v>0</v>
      </c>
      <c r="M25" s="58">
        <f t="shared" si="3"/>
        <v>13.84</v>
      </c>
    </row>
    <row r="26" spans="1:13" ht="15">
      <c r="A26" s="59"/>
      <c r="B26" s="60" t="s">
        <v>37</v>
      </c>
      <c r="C26" s="60" t="s">
        <v>42</v>
      </c>
      <c r="D26" s="61" t="s">
        <v>11</v>
      </c>
      <c r="E26" s="62">
        <v>0.013</v>
      </c>
      <c r="F26" s="56">
        <f>$F$23*E26</f>
        <v>0.03</v>
      </c>
      <c r="G26" s="146">
        <f t="shared" si="4"/>
        <v>475.61</v>
      </c>
      <c r="H26" s="56">
        <f t="shared" si="0"/>
        <v>14.27</v>
      </c>
      <c r="I26" s="57"/>
      <c r="J26" s="56">
        <f t="shared" si="1"/>
        <v>0</v>
      </c>
      <c r="K26" s="57"/>
      <c r="L26" s="56">
        <f t="shared" si="2"/>
        <v>0</v>
      </c>
      <c r="M26" s="58">
        <f t="shared" si="3"/>
        <v>14.27</v>
      </c>
    </row>
    <row r="27" spans="1:13" ht="15">
      <c r="A27" s="59"/>
      <c r="B27" s="60" t="s">
        <v>30</v>
      </c>
      <c r="C27" s="99" t="s">
        <v>44</v>
      </c>
      <c r="D27" s="61" t="s">
        <v>12</v>
      </c>
      <c r="E27" s="62">
        <v>2.5</v>
      </c>
      <c r="F27" s="56">
        <f>$F$23*E27</f>
        <v>6.58</v>
      </c>
      <c r="G27" s="146">
        <f t="shared" si="4"/>
        <v>1.02</v>
      </c>
      <c r="H27" s="56">
        <f t="shared" si="0"/>
        <v>6.71</v>
      </c>
      <c r="I27" s="57"/>
      <c r="J27" s="56">
        <f t="shared" si="1"/>
        <v>0</v>
      </c>
      <c r="K27" s="57"/>
      <c r="L27" s="56">
        <f t="shared" si="2"/>
        <v>0</v>
      </c>
      <c r="M27" s="58">
        <f t="shared" si="3"/>
        <v>6.71</v>
      </c>
    </row>
    <row r="28" spans="1:13" ht="15">
      <c r="A28" s="59"/>
      <c r="B28" s="60" t="s">
        <v>38</v>
      </c>
      <c r="C28" s="99" t="s">
        <v>47</v>
      </c>
      <c r="D28" s="61" t="s">
        <v>35</v>
      </c>
      <c r="E28" s="62">
        <v>1.03</v>
      </c>
      <c r="F28" s="56">
        <f>((77.77+38.88)/1000)*E28</f>
        <v>0.12</v>
      </c>
      <c r="G28" s="146">
        <f t="shared" si="4"/>
        <v>0</v>
      </c>
      <c r="H28" s="56">
        <f t="shared" si="0"/>
        <v>0</v>
      </c>
      <c r="I28" s="146">
        <f>I20</f>
        <v>0</v>
      </c>
      <c r="J28" s="56">
        <f t="shared" si="1"/>
        <v>0</v>
      </c>
      <c r="K28" s="57"/>
      <c r="L28" s="56">
        <f t="shared" si="2"/>
        <v>0</v>
      </c>
      <c r="M28" s="58">
        <f t="shared" si="3"/>
        <v>0</v>
      </c>
    </row>
    <row r="29" spans="1:13" ht="15">
      <c r="A29" s="59"/>
      <c r="B29" s="60" t="s">
        <v>39</v>
      </c>
      <c r="C29" s="99" t="s">
        <v>45</v>
      </c>
      <c r="D29" s="61" t="s">
        <v>35</v>
      </c>
      <c r="E29" s="62">
        <v>1.03</v>
      </c>
      <c r="F29" s="56">
        <f>((225.16+30.12)/1000)*E29</f>
        <v>0.26</v>
      </c>
      <c r="G29" s="146">
        <f t="shared" si="4"/>
        <v>0</v>
      </c>
      <c r="H29" s="56">
        <f t="shared" si="0"/>
        <v>0</v>
      </c>
      <c r="I29" s="146">
        <f>I21</f>
        <v>0</v>
      </c>
      <c r="J29" s="56">
        <f t="shared" si="1"/>
        <v>0</v>
      </c>
      <c r="K29" s="57"/>
      <c r="L29" s="56">
        <f t="shared" si="2"/>
        <v>0</v>
      </c>
      <c r="M29" s="58">
        <f t="shared" si="3"/>
        <v>0</v>
      </c>
    </row>
    <row r="30" spans="1:13" ht="15.75" thickBot="1">
      <c r="A30" s="100"/>
      <c r="B30" s="60" t="s">
        <v>28</v>
      </c>
      <c r="C30" s="99" t="s">
        <v>46</v>
      </c>
      <c r="D30" s="61"/>
      <c r="E30" s="57">
        <v>0.25</v>
      </c>
      <c r="F30" s="56">
        <f>$F$23*E30</f>
        <v>0.66</v>
      </c>
      <c r="G30" s="146">
        <f t="shared" si="4"/>
        <v>2.04</v>
      </c>
      <c r="H30" s="56">
        <f t="shared" si="0"/>
        <v>1.35</v>
      </c>
      <c r="I30" s="57"/>
      <c r="J30" s="56">
        <f t="shared" si="1"/>
        <v>0</v>
      </c>
      <c r="K30" s="57"/>
      <c r="L30" s="56">
        <f t="shared" si="2"/>
        <v>0</v>
      </c>
      <c r="M30" s="58">
        <f t="shared" si="3"/>
        <v>1.35</v>
      </c>
    </row>
    <row r="31" spans="2:13" ht="15.75" thickBot="1">
      <c r="B31" s="42"/>
      <c r="C31" s="42"/>
      <c r="D31" s="63"/>
      <c r="E31" s="42"/>
      <c r="F31" s="101"/>
      <c r="G31" s="40"/>
      <c r="H31" s="66">
        <f>SUM(H15:H30)</f>
        <v>11460.19</v>
      </c>
      <c r="I31" s="67"/>
      <c r="J31" s="68">
        <f>SUM(J15:J30)</f>
        <v>107.36</v>
      </c>
      <c r="K31" s="67"/>
      <c r="L31" s="68">
        <f>SUM(L15:L30)</f>
        <v>829.1</v>
      </c>
      <c r="M31" s="102">
        <f>SUM(M15:M30)</f>
        <v>12396.65</v>
      </c>
    </row>
    <row r="32" spans="1:14" s="2" customFormat="1" ht="15" customHeight="1">
      <c r="A32" s="39"/>
      <c r="B32" s="39"/>
      <c r="C32" s="39"/>
      <c r="D32" s="39"/>
      <c r="E32" s="39"/>
      <c r="F32" s="70"/>
      <c r="G32" s="71"/>
      <c r="H32" s="223" t="s">
        <v>26</v>
      </c>
      <c r="I32" s="224"/>
      <c r="J32" s="72"/>
      <c r="K32" s="82">
        <f>'-10.430'!$K$20</f>
        <v>0.08</v>
      </c>
      <c r="L32" s="72"/>
      <c r="M32" s="74">
        <f>M31*K32</f>
        <v>991.73</v>
      </c>
      <c r="N32" s="5"/>
    </row>
    <row r="33" spans="1:14" s="2" customFormat="1" ht="15" customHeight="1" thickBot="1">
      <c r="A33" s="39"/>
      <c r="B33" s="39"/>
      <c r="C33" s="39"/>
      <c r="D33" s="75"/>
      <c r="E33" s="76"/>
      <c r="F33" s="70"/>
      <c r="G33" s="70"/>
      <c r="H33" s="225" t="s">
        <v>27</v>
      </c>
      <c r="I33" s="226"/>
      <c r="J33" s="77"/>
      <c r="K33" s="78" t="str">
        <f>K35</f>
        <v>USD</v>
      </c>
      <c r="L33" s="77"/>
      <c r="M33" s="79">
        <f>M31+M32</f>
        <v>13388.38</v>
      </c>
      <c r="N33" s="5"/>
    </row>
    <row r="34" spans="1:14" s="2" customFormat="1" ht="15">
      <c r="A34" s="39"/>
      <c r="B34" s="39"/>
      <c r="C34" s="39"/>
      <c r="D34" s="75"/>
      <c r="E34" s="76"/>
      <c r="F34" s="70"/>
      <c r="G34" s="71"/>
      <c r="H34" s="223" t="s">
        <v>66</v>
      </c>
      <c r="I34" s="224"/>
      <c r="J34" s="72"/>
      <c r="K34" s="82">
        <f>'-10.430'!$K$22</f>
        <v>0.08</v>
      </c>
      <c r="L34" s="72"/>
      <c r="M34" s="74">
        <f>M33*K34</f>
        <v>1071.07</v>
      </c>
      <c r="N34" s="5"/>
    </row>
    <row r="35" spans="1:14" s="2" customFormat="1" ht="15.75" thickBot="1">
      <c r="A35" s="39"/>
      <c r="B35" s="39"/>
      <c r="C35" s="39"/>
      <c r="D35" s="75"/>
      <c r="E35" s="76"/>
      <c r="F35" s="80"/>
      <c r="G35" s="71"/>
      <c r="H35" s="225" t="s">
        <v>27</v>
      </c>
      <c r="I35" s="226"/>
      <c r="J35" s="77"/>
      <c r="K35" s="81" t="s">
        <v>19</v>
      </c>
      <c r="L35" s="77"/>
      <c r="M35" s="79">
        <f>M33+M34</f>
        <v>14459.45</v>
      </c>
      <c r="N35" s="5"/>
    </row>
    <row r="36" spans="1:14" s="2" customFormat="1" ht="15">
      <c r="A36" s="39"/>
      <c r="B36" s="39"/>
      <c r="C36" s="39"/>
      <c r="D36" s="39"/>
      <c r="E36" s="39"/>
      <c r="F36" s="39"/>
      <c r="G36" s="71"/>
      <c r="H36" s="219" t="s">
        <v>33</v>
      </c>
      <c r="I36" s="220"/>
      <c r="J36" s="72"/>
      <c r="K36" s="82">
        <v>0.18</v>
      </c>
      <c r="L36" s="72"/>
      <c r="M36" s="74">
        <f>M35*K36</f>
        <v>2602.7</v>
      </c>
      <c r="N36" s="5"/>
    </row>
    <row r="37" spans="1:14" s="2" customFormat="1" ht="15.75" thickBot="1">
      <c r="A37" s="39"/>
      <c r="B37" s="39"/>
      <c r="C37" s="39"/>
      <c r="D37" s="39"/>
      <c r="E37" s="39"/>
      <c r="F37" s="39"/>
      <c r="G37" s="71"/>
      <c r="H37" s="221" t="s">
        <v>25</v>
      </c>
      <c r="I37" s="222"/>
      <c r="J37" s="77"/>
      <c r="K37" s="83" t="s">
        <v>19</v>
      </c>
      <c r="L37" s="77"/>
      <c r="M37" s="79">
        <f>M35+M36</f>
        <v>17062.15</v>
      </c>
      <c r="N37" s="5"/>
    </row>
  </sheetData>
  <mergeCells count="22">
    <mergeCell ref="A8:G8"/>
    <mergeCell ref="K2:M2"/>
    <mergeCell ref="D3:I3"/>
    <mergeCell ref="D4:I4"/>
    <mergeCell ref="D5:I5"/>
    <mergeCell ref="A7:G7"/>
    <mergeCell ref="A12:A13"/>
    <mergeCell ref="B12:B13"/>
    <mergeCell ref="C12:C13"/>
    <mergeCell ref="D12:D13"/>
    <mergeCell ref="E12:F12"/>
    <mergeCell ref="I12:J12"/>
    <mergeCell ref="K12:L12"/>
    <mergeCell ref="M12:M13"/>
    <mergeCell ref="B14:C14"/>
    <mergeCell ref="G12:H12"/>
    <mergeCell ref="H37:I37"/>
    <mergeCell ref="H32:I32"/>
    <mergeCell ref="H33:I33"/>
    <mergeCell ref="H34:I34"/>
    <mergeCell ref="H35:I35"/>
    <mergeCell ref="H36:I36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E13" sqref="E13"/>
    </sheetView>
  </sheetViews>
  <sheetFormatPr defaultColWidth="8.8515625" defaultRowHeight="15"/>
  <cols>
    <col min="1" max="1" width="4.00390625" style="44" customWidth="1"/>
    <col min="2" max="2" width="35.7109375" style="46" customWidth="1"/>
    <col min="3" max="3" width="38.57421875" style="46" customWidth="1"/>
    <col min="4" max="4" width="5.7109375" style="44" bestFit="1" customWidth="1"/>
    <col min="5" max="5" width="11.8515625" style="44" customWidth="1"/>
    <col min="6" max="6" width="9.421875" style="44" customWidth="1"/>
    <col min="7" max="7" width="8.7109375" style="44" customWidth="1"/>
    <col min="8" max="8" width="12.00390625" style="44" customWidth="1"/>
    <col min="9" max="9" width="8.7109375" style="44" customWidth="1"/>
    <col min="10" max="10" width="9.8515625" style="44" bestFit="1" customWidth="1"/>
    <col min="11" max="11" width="11.57421875" style="44" customWidth="1"/>
    <col min="12" max="12" width="14.7109375" style="44" customWidth="1"/>
    <col min="13" max="13" width="13.7109375" style="31" customWidth="1"/>
    <col min="14" max="15" width="8.8515625" style="44" customWidth="1"/>
    <col min="16" max="16384" width="8.8515625" style="4" customWidth="1"/>
  </cols>
  <sheetData>
    <row r="1" spans="1:13" ht="15">
      <c r="A1" s="42"/>
      <c r="B1" s="42"/>
      <c r="C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227" t="s">
        <v>18</v>
      </c>
      <c r="L2" s="228"/>
      <c r="M2" s="229"/>
    </row>
    <row r="3" spans="1:13" ht="15" customHeight="1">
      <c r="A3" s="63"/>
      <c r="B3" s="42"/>
      <c r="C3" s="42"/>
      <c r="D3" s="241"/>
      <c r="E3" s="241"/>
      <c r="F3" s="241"/>
      <c r="G3" s="241"/>
      <c r="H3" s="241"/>
      <c r="I3" s="241"/>
      <c r="J3" s="42"/>
      <c r="K3" s="89" t="s">
        <v>19</v>
      </c>
      <c r="L3" s="89" t="s">
        <v>40</v>
      </c>
      <c r="M3" s="57" t="str">
        <f ca="1">'+10.870'!M3</f>
        <v>US $  Rate</v>
      </c>
    </row>
    <row r="4" spans="1:13" ht="16.5" customHeight="1">
      <c r="A4" s="42"/>
      <c r="B4" s="110" t="s">
        <v>69</v>
      </c>
      <c r="C4" s="42"/>
      <c r="D4" s="241"/>
      <c r="E4" s="241"/>
      <c r="F4" s="241"/>
      <c r="G4" s="241"/>
      <c r="H4" s="241"/>
      <c r="I4" s="241"/>
      <c r="J4" s="42"/>
      <c r="K4" s="26">
        <f>M25</f>
        <v>2496.51</v>
      </c>
      <c r="L4" s="121">
        <f>K4*M4</f>
        <v>6116.45</v>
      </c>
      <c r="M4" s="91">
        <f>'Unit Price Assumptions'!D4</f>
        <v>2.45</v>
      </c>
    </row>
    <row r="5" spans="1:13" ht="15">
      <c r="A5" s="42"/>
      <c r="B5" s="42"/>
      <c r="C5" s="42"/>
      <c r="D5" s="241"/>
      <c r="E5" s="241"/>
      <c r="F5" s="241"/>
      <c r="G5" s="241"/>
      <c r="H5" s="241"/>
      <c r="I5" s="241"/>
      <c r="J5" s="42"/>
      <c r="K5" s="43"/>
      <c r="L5" s="43"/>
      <c r="M5" s="30"/>
    </row>
    <row r="6" spans="1:13" ht="15">
      <c r="A6" s="42"/>
      <c r="B6" s="42"/>
      <c r="C6" s="42"/>
      <c r="D6" s="92"/>
      <c r="E6" s="92"/>
      <c r="F6" s="92"/>
      <c r="G6" s="92"/>
      <c r="H6" s="92"/>
      <c r="I6" s="92"/>
      <c r="J6" s="42"/>
      <c r="K6" s="43"/>
      <c r="L6" s="43"/>
      <c r="M6" s="30"/>
    </row>
    <row r="7" spans="1:13" ht="15.75" thickBot="1">
      <c r="A7" s="42"/>
      <c r="B7" s="42"/>
      <c r="C7" s="42"/>
      <c r="D7" s="92"/>
      <c r="E7" s="92"/>
      <c r="F7" s="92"/>
      <c r="G7" s="92"/>
      <c r="H7" s="92"/>
      <c r="I7" s="92"/>
      <c r="J7" s="42"/>
      <c r="K7" s="43"/>
      <c r="L7" s="43"/>
      <c r="M7" s="30"/>
    </row>
    <row r="8" spans="1:13" ht="27" customHeight="1">
      <c r="A8" s="231" t="s">
        <v>96</v>
      </c>
      <c r="B8" s="233" t="s">
        <v>20</v>
      </c>
      <c r="C8" s="235" t="s">
        <v>41</v>
      </c>
      <c r="D8" s="237" t="s">
        <v>31</v>
      </c>
      <c r="E8" s="217" t="s">
        <v>21</v>
      </c>
      <c r="F8" s="218"/>
      <c r="G8" s="217" t="s">
        <v>22</v>
      </c>
      <c r="H8" s="218"/>
      <c r="I8" s="217" t="s">
        <v>23</v>
      </c>
      <c r="J8" s="218"/>
      <c r="K8" s="217" t="s">
        <v>24</v>
      </c>
      <c r="L8" s="218"/>
      <c r="M8" s="239" t="s">
        <v>18</v>
      </c>
    </row>
    <row r="9" spans="1:13" ht="45.75" customHeight="1">
      <c r="A9" s="232"/>
      <c r="B9" s="234"/>
      <c r="C9" s="236"/>
      <c r="D9" s="238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103</v>
      </c>
      <c r="L9" s="48" t="s">
        <v>18</v>
      </c>
      <c r="M9" s="240"/>
    </row>
    <row r="10" spans="1:14" ht="15">
      <c r="A10" s="49" t="s">
        <v>1</v>
      </c>
      <c r="B10" s="215" t="s">
        <v>13</v>
      </c>
      <c r="C10" s="216"/>
      <c r="D10" s="52" t="s">
        <v>2</v>
      </c>
      <c r="E10" s="51" t="s">
        <v>3</v>
      </c>
      <c r="F10" s="52" t="s">
        <v>14</v>
      </c>
      <c r="G10" s="51" t="s">
        <v>4</v>
      </c>
      <c r="H10" s="50" t="s">
        <v>5</v>
      </c>
      <c r="I10" s="51" t="s">
        <v>6</v>
      </c>
      <c r="J10" s="52" t="s">
        <v>7</v>
      </c>
      <c r="K10" s="51" t="s">
        <v>8</v>
      </c>
      <c r="L10" s="53" t="s">
        <v>9</v>
      </c>
      <c r="M10" s="109" t="s">
        <v>10</v>
      </c>
      <c r="N10" s="69"/>
    </row>
    <row r="11" spans="1:16" s="1" customFormat="1" ht="30">
      <c r="A11" s="55">
        <v>1</v>
      </c>
      <c r="B11" s="119" t="s">
        <v>59</v>
      </c>
      <c r="C11" s="119" t="s">
        <v>60</v>
      </c>
      <c r="D11" s="56" t="s">
        <v>11</v>
      </c>
      <c r="E11" s="56"/>
      <c r="F11" s="120">
        <f>4.3+13.6</f>
        <v>17.9</v>
      </c>
      <c r="G11" s="57"/>
      <c r="H11" s="56">
        <f>F11*G11</f>
        <v>0</v>
      </c>
      <c r="I11" s="146">
        <f>'Unit Price Assumptions'!D19</f>
        <v>40.82</v>
      </c>
      <c r="J11" s="56">
        <f>F11*I11</f>
        <v>730.68</v>
      </c>
      <c r="K11" s="146">
        <f>'Unit Price Assumptions'!D21</f>
        <v>4.08</v>
      </c>
      <c r="L11" s="56">
        <f>F11*K11</f>
        <v>73.03</v>
      </c>
      <c r="M11" s="58">
        <f>H11+J11+L11</f>
        <v>803.71</v>
      </c>
      <c r="N11" s="40"/>
      <c r="O11" s="123"/>
      <c r="P11" s="9"/>
    </row>
    <row r="12" spans="1:16" ht="15">
      <c r="A12" s="59"/>
      <c r="B12" s="60" t="s">
        <v>56</v>
      </c>
      <c r="C12" s="60" t="s">
        <v>61</v>
      </c>
      <c r="D12" s="61" t="s">
        <v>11</v>
      </c>
      <c r="E12" s="62">
        <v>1.015</v>
      </c>
      <c r="F12" s="56">
        <f>$F$11*E12</f>
        <v>18.17</v>
      </c>
      <c r="G12" s="146">
        <f>'Unit Price Assumptions'!C8</f>
        <v>44.97</v>
      </c>
      <c r="H12" s="56">
        <f aca="true" t="shared" si="0" ref="H12:H18">F12*G12</f>
        <v>817.1</v>
      </c>
      <c r="I12" s="57"/>
      <c r="J12" s="56">
        <f aca="true" t="shared" si="1" ref="J12:J18">F12*I12</f>
        <v>0</v>
      </c>
      <c r="K12" s="57"/>
      <c r="L12" s="56">
        <f aca="true" t="shared" si="2" ref="L12:L18">F12*K12</f>
        <v>0</v>
      </c>
      <c r="M12" s="58">
        <f aca="true" t="shared" si="3" ref="M12:M18">H12+J12+L12</f>
        <v>817.1</v>
      </c>
      <c r="N12" s="44">
        <v>18.17</v>
      </c>
      <c r="O12" s="123"/>
      <c r="P12" s="6"/>
    </row>
    <row r="13" spans="1:16" ht="15">
      <c r="A13" s="59"/>
      <c r="B13" s="60" t="s">
        <v>29</v>
      </c>
      <c r="C13" s="60" t="s">
        <v>43</v>
      </c>
      <c r="D13" s="61" t="s">
        <v>15</v>
      </c>
      <c r="E13" s="62">
        <v>0.3</v>
      </c>
      <c r="F13" s="56">
        <f>$F$11*E13</f>
        <v>5.37</v>
      </c>
      <c r="G13" s="146">
        <f>'Unit Price Assumptions'!C12</f>
        <v>8.65</v>
      </c>
      <c r="H13" s="56">
        <f t="shared" si="0"/>
        <v>46.45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46.45</v>
      </c>
      <c r="N13" s="44">
        <v>18.8</v>
      </c>
      <c r="O13" s="123"/>
      <c r="P13" s="6"/>
    </row>
    <row r="14" spans="1:16" ht="15">
      <c r="A14" s="59"/>
      <c r="B14" s="60" t="s">
        <v>37</v>
      </c>
      <c r="C14" s="60" t="s">
        <v>42</v>
      </c>
      <c r="D14" s="61" t="s">
        <v>11</v>
      </c>
      <c r="E14" s="62">
        <v>0.011</v>
      </c>
      <c r="F14" s="56">
        <f>$F$11*E14</f>
        <v>0.2</v>
      </c>
      <c r="G14" s="146">
        <f>'Unit Price Assumptions'!C13</f>
        <v>475.61</v>
      </c>
      <c r="H14" s="56">
        <f t="shared" si="0"/>
        <v>95.12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95.12</v>
      </c>
      <c r="N14" s="44">
        <v>0.81</v>
      </c>
      <c r="P14" s="6"/>
    </row>
    <row r="15" spans="1:16" ht="15">
      <c r="A15" s="59"/>
      <c r="B15" s="60" t="s">
        <v>30</v>
      </c>
      <c r="C15" s="60" t="s">
        <v>44</v>
      </c>
      <c r="D15" s="61" t="s">
        <v>12</v>
      </c>
      <c r="E15" s="62">
        <v>2.5</v>
      </c>
      <c r="F15" s="56">
        <f>$F$11*E15</f>
        <v>44.75</v>
      </c>
      <c r="G15" s="146">
        <f>'Unit Price Assumptions'!C15</f>
        <v>1.02</v>
      </c>
      <c r="H15" s="56">
        <f t="shared" si="0"/>
        <v>45.65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45.65</v>
      </c>
      <c r="N15" s="44">
        <v>44.75</v>
      </c>
      <c r="P15" s="6"/>
    </row>
    <row r="16" spans="1:16" ht="15">
      <c r="A16" s="59"/>
      <c r="B16" s="60" t="s">
        <v>38</v>
      </c>
      <c r="C16" s="60" t="s">
        <v>47</v>
      </c>
      <c r="D16" s="61" t="s">
        <v>35</v>
      </c>
      <c r="E16" s="62">
        <v>1.03</v>
      </c>
      <c r="F16" s="56">
        <f>((305.74+20.44+18.14)/1000)*E16</f>
        <v>0.35</v>
      </c>
      <c r="G16" s="146">
        <f>'Unit Price Assumptions'!C10</f>
        <v>0</v>
      </c>
      <c r="H16" s="56">
        <f t="shared" si="0"/>
        <v>0</v>
      </c>
      <c r="I16" s="146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  <c r="N16" s="44">
        <v>0.35</v>
      </c>
      <c r="P16" s="6"/>
    </row>
    <row r="17" spans="1:14" ht="15">
      <c r="A17" s="59"/>
      <c r="B17" s="60" t="s">
        <v>39</v>
      </c>
      <c r="C17" s="60" t="s">
        <v>45</v>
      </c>
      <c r="D17" s="61" t="s">
        <v>35</v>
      </c>
      <c r="E17" s="62">
        <v>1.03</v>
      </c>
      <c r="F17" s="56">
        <f>((839.4+691.27)/1000)*E17</f>
        <v>1.58</v>
      </c>
      <c r="G17" s="146">
        <f>'Unit Price Assumptions'!C11</f>
        <v>0</v>
      </c>
      <c r="H17" s="56">
        <f t="shared" si="0"/>
        <v>0</v>
      </c>
      <c r="I17" s="146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  <c r="N17" s="44">
        <v>1.58</v>
      </c>
    </row>
    <row r="18" spans="1:14" ht="15.75" thickBot="1">
      <c r="A18" s="59"/>
      <c r="B18" s="60" t="s">
        <v>28</v>
      </c>
      <c r="C18" s="60" t="s">
        <v>46</v>
      </c>
      <c r="D18" s="61"/>
      <c r="E18" s="57">
        <v>0.16</v>
      </c>
      <c r="F18" s="56">
        <f>$F$11*E18</f>
        <v>2.86</v>
      </c>
      <c r="G18" s="146">
        <f>'Unit Price Assumptions'!C16</f>
        <v>2.04</v>
      </c>
      <c r="H18" s="56">
        <f t="shared" si="0"/>
        <v>5.83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5.83</v>
      </c>
      <c r="N18" s="44">
        <v>2.86</v>
      </c>
    </row>
    <row r="19" spans="2:13" ht="15.75" thickBot="1">
      <c r="B19" s="42"/>
      <c r="C19" s="42"/>
      <c r="D19" s="63"/>
      <c r="E19" s="42"/>
      <c r="F19" s="101"/>
      <c r="G19" s="40"/>
      <c r="H19" s="66">
        <f>SUM(H11:H18)</f>
        <v>1010.15</v>
      </c>
      <c r="I19" s="67"/>
      <c r="J19" s="68">
        <f>SUM(J11:J18)</f>
        <v>730.68</v>
      </c>
      <c r="K19" s="67"/>
      <c r="L19" s="68">
        <f>SUM(L11:L18)</f>
        <v>73.03</v>
      </c>
      <c r="M19" s="102">
        <f>SUM(M11:M18)</f>
        <v>1813.86</v>
      </c>
    </row>
    <row r="20" spans="1:15" s="2" customFormat="1" ht="15" customHeight="1">
      <c r="A20" s="39"/>
      <c r="B20" s="39"/>
      <c r="C20" s="39"/>
      <c r="D20" s="39"/>
      <c r="E20" s="39"/>
      <c r="F20" s="70"/>
      <c r="G20" s="71"/>
      <c r="H20" s="223" t="s">
        <v>26</v>
      </c>
      <c r="I20" s="224"/>
      <c r="J20" s="72"/>
      <c r="K20" s="82">
        <f>'-10.430'!$K$20</f>
        <v>0.08</v>
      </c>
      <c r="L20" s="72"/>
      <c r="M20" s="74">
        <f>M19*K20</f>
        <v>145.11</v>
      </c>
      <c r="N20" s="39"/>
      <c r="O20" s="39"/>
    </row>
    <row r="21" spans="1:15" s="2" customFormat="1" ht="15" customHeight="1" thickBot="1">
      <c r="A21" s="39"/>
      <c r="B21" s="39"/>
      <c r="C21" s="39"/>
      <c r="D21" s="75"/>
      <c r="E21" s="76"/>
      <c r="F21" s="70"/>
      <c r="G21" s="70"/>
      <c r="H21" s="225" t="s">
        <v>27</v>
      </c>
      <c r="I21" s="226"/>
      <c r="J21" s="77"/>
      <c r="K21" s="78" t="str">
        <f>K23</f>
        <v>USD</v>
      </c>
      <c r="L21" s="77"/>
      <c r="M21" s="79">
        <f>M19+M20</f>
        <v>1958.97</v>
      </c>
      <c r="N21" s="39"/>
      <c r="O21" s="39"/>
    </row>
    <row r="22" spans="1:15" s="2" customFormat="1" ht="15">
      <c r="A22" s="39"/>
      <c r="B22" s="39"/>
      <c r="C22" s="39"/>
      <c r="D22" s="75"/>
      <c r="E22" s="76"/>
      <c r="F22" s="70"/>
      <c r="G22" s="71"/>
      <c r="H22" s="223" t="s">
        <v>66</v>
      </c>
      <c r="I22" s="224"/>
      <c r="J22" s="72"/>
      <c r="K22" s="82">
        <f>'-10.430'!$K$22</f>
        <v>0.08</v>
      </c>
      <c r="L22" s="72"/>
      <c r="M22" s="74">
        <f>M21*K22</f>
        <v>156.72</v>
      </c>
      <c r="N22" s="39"/>
      <c r="O22" s="39"/>
    </row>
    <row r="23" spans="1:15" s="2" customFormat="1" ht="15.75" thickBot="1">
      <c r="A23" s="39"/>
      <c r="B23" s="39"/>
      <c r="C23" s="39"/>
      <c r="D23" s="75"/>
      <c r="E23" s="76"/>
      <c r="F23" s="80"/>
      <c r="G23" s="71"/>
      <c r="H23" s="225" t="s">
        <v>27</v>
      </c>
      <c r="I23" s="226"/>
      <c r="J23" s="77"/>
      <c r="K23" s="81" t="s">
        <v>19</v>
      </c>
      <c r="L23" s="77"/>
      <c r="M23" s="79">
        <f>M21+M22</f>
        <v>2115.69</v>
      </c>
      <c r="N23" s="39"/>
      <c r="O23" s="39"/>
    </row>
    <row r="24" spans="1:15" s="2" customFormat="1" ht="15">
      <c r="A24" s="39"/>
      <c r="B24" s="39"/>
      <c r="C24" s="39"/>
      <c r="D24" s="39"/>
      <c r="E24" s="39"/>
      <c r="F24" s="39"/>
      <c r="G24" s="71"/>
      <c r="H24" s="219" t="s">
        <v>33</v>
      </c>
      <c r="I24" s="220"/>
      <c r="J24" s="72"/>
      <c r="K24" s="82">
        <v>0.18</v>
      </c>
      <c r="L24" s="72"/>
      <c r="M24" s="74">
        <f>M23*K24</f>
        <v>380.82</v>
      </c>
      <c r="N24" s="39"/>
      <c r="O24" s="39"/>
    </row>
    <row r="25" spans="1:15" s="2" customFormat="1" ht="15.75" thickBot="1">
      <c r="A25" s="39"/>
      <c r="B25" s="39"/>
      <c r="C25" s="39"/>
      <c r="D25" s="39"/>
      <c r="E25" s="39"/>
      <c r="F25" s="39"/>
      <c r="G25" s="71"/>
      <c r="H25" s="221" t="s">
        <v>25</v>
      </c>
      <c r="I25" s="222"/>
      <c r="J25" s="77"/>
      <c r="K25" s="83" t="s">
        <v>19</v>
      </c>
      <c r="L25" s="77"/>
      <c r="M25" s="79">
        <f>M23+M24</f>
        <v>2496.51</v>
      </c>
      <c r="N25" s="39"/>
      <c r="O25" s="39"/>
    </row>
  </sheetData>
  <mergeCells count="20">
    <mergeCell ref="K2:M2"/>
    <mergeCell ref="D3:I3"/>
    <mergeCell ref="D4:I4"/>
    <mergeCell ref="D5:I5"/>
    <mergeCell ref="A8:A9"/>
    <mergeCell ref="B8:B9"/>
    <mergeCell ref="C8:C9"/>
    <mergeCell ref="D8:D9"/>
    <mergeCell ref="E8:F8"/>
    <mergeCell ref="I8:J8"/>
    <mergeCell ref="K8:L8"/>
    <mergeCell ref="M8:M9"/>
    <mergeCell ref="B10:C10"/>
    <mergeCell ref="G8:H8"/>
    <mergeCell ref="H25:I25"/>
    <mergeCell ref="H20:I20"/>
    <mergeCell ref="H21:I21"/>
    <mergeCell ref="H22:I22"/>
    <mergeCell ref="H23:I23"/>
    <mergeCell ref="H24:I24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showGridLines="0" workbookViewId="0" topLeftCell="A1">
      <selection activeCell="C16" sqref="C16"/>
    </sheetView>
  </sheetViews>
  <sheetFormatPr defaultColWidth="9.140625" defaultRowHeight="15"/>
  <cols>
    <col min="1" max="1" width="31.00390625" style="148" customWidth="1"/>
    <col min="2" max="2" width="39.57421875" style="148" bestFit="1" customWidth="1"/>
    <col min="3" max="3" width="21.57421875" style="148" customWidth="1"/>
    <col min="4" max="4" width="20.140625" style="148" customWidth="1"/>
    <col min="5" max="5" width="13.421875" style="148" customWidth="1"/>
    <col min="6" max="6" width="9.140625" style="149" customWidth="1"/>
    <col min="7" max="7" width="9.8515625" style="149" bestFit="1" customWidth="1"/>
    <col min="8" max="16384" width="9.140625" style="149" customWidth="1"/>
  </cols>
  <sheetData>
    <row r="1" ht="24">
      <c r="A1" s="147" t="s">
        <v>105</v>
      </c>
    </row>
    <row r="2" ht="21">
      <c r="A2" s="150" t="s">
        <v>109</v>
      </c>
    </row>
    <row r="3" ht="15.75" thickBot="1"/>
    <row r="4" spans="1:4" ht="20.25" thickBot="1">
      <c r="A4" s="151" t="s">
        <v>101</v>
      </c>
      <c r="B4" s="152"/>
      <c r="C4" s="153" t="s">
        <v>128</v>
      </c>
      <c r="D4" s="154">
        <f>TOTAL!D8</f>
        <v>2.45</v>
      </c>
    </row>
    <row r="5" ht="15">
      <c r="A5" s="155"/>
    </row>
    <row r="6" spans="1:5" ht="30">
      <c r="A6" s="156" t="s">
        <v>79</v>
      </c>
      <c r="B6" s="157" t="s">
        <v>78</v>
      </c>
      <c r="C6" s="157" t="s">
        <v>94</v>
      </c>
      <c r="D6" s="157" t="s">
        <v>95</v>
      </c>
      <c r="E6" s="158"/>
    </row>
    <row r="7" spans="1:5" ht="15">
      <c r="A7" s="159" t="s">
        <v>74</v>
      </c>
      <c r="B7" s="160" t="s">
        <v>75</v>
      </c>
      <c r="C7" s="161">
        <f>102/1.18/$D$4</f>
        <v>35.28</v>
      </c>
      <c r="D7" s="162"/>
      <c r="E7" s="158"/>
    </row>
    <row r="8" spans="1:5" ht="15">
      <c r="A8" s="159" t="s">
        <v>56</v>
      </c>
      <c r="B8" s="160" t="s">
        <v>55</v>
      </c>
      <c r="C8" s="161">
        <f>130/1.18/$D$4</f>
        <v>44.97</v>
      </c>
      <c r="D8" s="162"/>
      <c r="E8" s="158"/>
    </row>
    <row r="9" spans="1:5" ht="15">
      <c r="A9" s="159" t="s">
        <v>73</v>
      </c>
      <c r="B9" s="160" t="s">
        <v>72</v>
      </c>
      <c r="C9" s="161">
        <f>134/1.18/$D$4</f>
        <v>46.35</v>
      </c>
      <c r="D9" s="162"/>
      <c r="E9" s="158"/>
    </row>
    <row r="10" spans="1:5" ht="15">
      <c r="A10" s="159" t="s">
        <v>38</v>
      </c>
      <c r="B10" s="159" t="s">
        <v>47</v>
      </c>
      <c r="C10" s="171">
        <v>0</v>
      </c>
      <c r="D10" s="163"/>
      <c r="E10" s="164" t="s">
        <v>111</v>
      </c>
    </row>
    <row r="11" spans="1:5" ht="15">
      <c r="A11" s="159" t="s">
        <v>39</v>
      </c>
      <c r="B11" s="159" t="s">
        <v>45</v>
      </c>
      <c r="C11" s="171">
        <v>0</v>
      </c>
      <c r="D11" s="163"/>
      <c r="E11" s="164" t="s">
        <v>111</v>
      </c>
    </row>
    <row r="12" spans="1:5" ht="15">
      <c r="A12" s="159" t="s">
        <v>29</v>
      </c>
      <c r="B12" s="160" t="s">
        <v>43</v>
      </c>
      <c r="C12" s="161">
        <f>25/1.18/$D$4</f>
        <v>8.65</v>
      </c>
      <c r="D12" s="162"/>
      <c r="E12" s="158"/>
    </row>
    <row r="13" spans="1:5" ht="15">
      <c r="A13" s="159" t="s">
        <v>37</v>
      </c>
      <c r="B13" s="160" t="s">
        <v>42</v>
      </c>
      <c r="C13" s="161">
        <f>1375/1.18/$D$4</f>
        <v>475.61</v>
      </c>
      <c r="D13" s="162"/>
      <c r="E13" s="158"/>
    </row>
    <row r="14" spans="1:5" ht="15">
      <c r="A14" s="165" t="s">
        <v>34</v>
      </c>
      <c r="B14" s="160" t="s">
        <v>48</v>
      </c>
      <c r="C14" s="161">
        <f>650/1.18/$D$4</f>
        <v>224.84</v>
      </c>
      <c r="D14" s="162"/>
      <c r="E14" s="158"/>
    </row>
    <row r="15" spans="1:5" ht="15">
      <c r="A15" s="159" t="s">
        <v>30</v>
      </c>
      <c r="B15" s="160" t="s">
        <v>44</v>
      </c>
      <c r="C15" s="161">
        <f>2.5/$D$4</f>
        <v>1.02</v>
      </c>
      <c r="D15" s="162"/>
      <c r="E15" s="158"/>
    </row>
    <row r="16" spans="1:5" ht="15">
      <c r="A16" s="165" t="s">
        <v>28</v>
      </c>
      <c r="B16" s="160" t="s">
        <v>46</v>
      </c>
      <c r="C16" s="161">
        <f>5/$D$4</f>
        <v>2.04</v>
      </c>
      <c r="D16" s="162"/>
      <c r="E16" s="158"/>
    </row>
    <row r="17" spans="1:5" ht="15">
      <c r="A17" s="166" t="s">
        <v>49</v>
      </c>
      <c r="B17" s="167" t="s">
        <v>52</v>
      </c>
      <c r="C17" s="161"/>
      <c r="D17" s="162">
        <f>100/$D$4</f>
        <v>40.82</v>
      </c>
      <c r="E17" s="158"/>
    </row>
    <row r="18" spans="1:5" ht="15">
      <c r="A18" s="166" t="s">
        <v>50</v>
      </c>
      <c r="B18" s="167" t="s">
        <v>53</v>
      </c>
      <c r="C18" s="161"/>
      <c r="D18" s="162">
        <f>100/$D$4</f>
        <v>40.82</v>
      </c>
      <c r="E18" s="158"/>
    </row>
    <row r="19" spans="1:5" ht="15">
      <c r="A19" s="166" t="s">
        <v>51</v>
      </c>
      <c r="B19" s="167" t="s">
        <v>54</v>
      </c>
      <c r="C19" s="161"/>
      <c r="D19" s="162">
        <f>100/$D$4</f>
        <v>40.82</v>
      </c>
      <c r="E19" s="158"/>
    </row>
    <row r="20" spans="1:5" ht="15">
      <c r="A20" s="168" t="s">
        <v>57</v>
      </c>
      <c r="B20" s="167" t="s">
        <v>58</v>
      </c>
      <c r="C20" s="161"/>
      <c r="D20" s="162">
        <f>100/$D$4</f>
        <v>40.82</v>
      </c>
      <c r="E20" s="158"/>
    </row>
    <row r="21" spans="1:5" ht="15">
      <c r="A21" s="169" t="s">
        <v>140</v>
      </c>
      <c r="B21" s="167" t="s">
        <v>141</v>
      </c>
      <c r="C21" s="170"/>
      <c r="D21" s="162">
        <f>10/$D$4</f>
        <v>4.08</v>
      </c>
      <c r="E21" s="158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5"/>
  <sheetViews>
    <sheetView showGridLines="0" workbookViewId="0" topLeftCell="A1">
      <selection activeCell="J10" sqref="J10"/>
    </sheetView>
  </sheetViews>
  <sheetFormatPr defaultColWidth="8.8515625" defaultRowHeight="15"/>
  <cols>
    <col min="1" max="1" width="3.57421875" style="12" customWidth="1"/>
    <col min="2" max="2" width="29.421875" style="15" customWidth="1"/>
    <col min="3" max="3" width="15.28125" style="12" customWidth="1"/>
    <col min="4" max="4" width="42.8515625" style="12" customWidth="1"/>
    <col min="5" max="5" width="12.8515625" style="12" customWidth="1"/>
    <col min="6" max="6" width="11.8515625" style="12" bestFit="1" customWidth="1"/>
    <col min="7" max="7" width="13.8515625" style="12" customWidth="1"/>
    <col min="8" max="8" width="12.421875" style="12" bestFit="1" customWidth="1"/>
    <col min="9" max="9" width="10.28125" style="12" customWidth="1"/>
    <col min="10" max="10" width="15.00390625" style="12" customWidth="1"/>
    <col min="11" max="11" width="17.8515625" style="12" bestFit="1" customWidth="1"/>
    <col min="12" max="12" width="15.7109375" style="31" customWidth="1"/>
    <col min="13" max="13" width="12.28125" style="10" customWidth="1"/>
    <col min="14" max="16384" width="8.8515625" style="10" customWidth="1"/>
  </cols>
  <sheetData>
    <row r="1" spans="1:13" ht="19.5">
      <c r="A1" s="212" t="s">
        <v>134</v>
      </c>
      <c r="B1" s="212"/>
      <c r="C1" s="212"/>
      <c r="D1" s="212"/>
      <c r="E1" s="125"/>
      <c r="F1" s="125"/>
      <c r="G1" s="125"/>
      <c r="H1" s="17"/>
      <c r="I1" s="18"/>
      <c r="J1" s="209" t="s">
        <v>83</v>
      </c>
      <c r="K1" s="210"/>
      <c r="L1" s="210"/>
      <c r="M1" s="11"/>
    </row>
    <row r="2" spans="1:13" ht="15">
      <c r="A2" s="19"/>
      <c r="B2" s="12"/>
      <c r="H2" s="20"/>
      <c r="I2" s="18"/>
      <c r="J2" s="21" t="s">
        <v>19</v>
      </c>
      <c r="K2" s="22" t="s">
        <v>40</v>
      </c>
      <c r="L2" s="23" t="str">
        <f>'[1]Unit Price Assumptions'!D6</f>
        <v>US $  Rate</v>
      </c>
      <c r="M2" s="11"/>
    </row>
    <row r="3" spans="1:13" ht="15.75" customHeight="1">
      <c r="A3" s="24"/>
      <c r="B3" s="211"/>
      <c r="C3" s="211"/>
      <c r="D3" s="211"/>
      <c r="E3" s="124"/>
      <c r="F3" s="124"/>
      <c r="G3" s="124"/>
      <c r="H3" s="25"/>
      <c r="I3" s="24"/>
      <c r="J3" s="26">
        <f>H17</f>
        <v>20000</v>
      </c>
      <c r="K3" s="27">
        <f>J3*L3</f>
        <v>49000</v>
      </c>
      <c r="L3" s="28">
        <f>'Unit Price Assumptions'!D4</f>
        <v>2.45</v>
      </c>
      <c r="M3" s="11"/>
    </row>
    <row r="4" spans="8:12" ht="15">
      <c r="H4" s="17"/>
      <c r="I4" s="17"/>
      <c r="J4" s="17"/>
      <c r="K4" s="29"/>
      <c r="L4" s="30"/>
    </row>
    <row r="7" spans="1:12" s="131" customFormat="1" ht="30">
      <c r="A7" s="126" t="s">
        <v>96</v>
      </c>
      <c r="B7" s="207" t="s">
        <v>79</v>
      </c>
      <c r="C7" s="207"/>
      <c r="D7" s="127" t="s">
        <v>78</v>
      </c>
      <c r="E7" s="127" t="s">
        <v>137</v>
      </c>
      <c r="F7" s="127" t="s">
        <v>136</v>
      </c>
      <c r="G7" s="127" t="s">
        <v>139</v>
      </c>
      <c r="H7" s="128" t="s">
        <v>25</v>
      </c>
      <c r="I7" s="129"/>
      <c r="J7" s="129"/>
      <c r="K7" s="129"/>
      <c r="L7" s="130"/>
    </row>
    <row r="8" spans="1:12" s="137" customFormat="1" ht="30">
      <c r="A8" s="132">
        <v>1</v>
      </c>
      <c r="B8" s="206" t="s">
        <v>87</v>
      </c>
      <c r="C8" s="206"/>
      <c r="D8" s="134" t="s">
        <v>91</v>
      </c>
      <c r="E8" s="134" t="s">
        <v>138</v>
      </c>
      <c r="F8" s="141">
        <v>1</v>
      </c>
      <c r="G8" s="142">
        <v>1500</v>
      </c>
      <c r="H8" s="144">
        <f>F8*G8</f>
        <v>1500</v>
      </c>
      <c r="I8" s="135"/>
      <c r="J8" s="135"/>
      <c r="K8" s="135"/>
      <c r="L8" s="136"/>
    </row>
    <row r="9" spans="1:12" s="137" customFormat="1" ht="28.5" customHeight="1">
      <c r="A9" s="132">
        <v>2</v>
      </c>
      <c r="B9" s="206" t="s">
        <v>90</v>
      </c>
      <c r="C9" s="206"/>
      <c r="D9" s="134" t="s">
        <v>92</v>
      </c>
      <c r="E9" s="134" t="s">
        <v>138</v>
      </c>
      <c r="F9" s="141">
        <v>1</v>
      </c>
      <c r="G9" s="142">
        <v>950</v>
      </c>
      <c r="H9" s="144">
        <f aca="true" t="shared" si="0" ref="H9:H16">F9*G9</f>
        <v>950</v>
      </c>
      <c r="I9" s="135"/>
      <c r="J9" s="135"/>
      <c r="K9" s="135"/>
      <c r="L9" s="136"/>
    </row>
    <row r="10" spans="1:12" s="137" customFormat="1" ht="75">
      <c r="A10" s="132">
        <v>3</v>
      </c>
      <c r="B10" s="206" t="s">
        <v>129</v>
      </c>
      <c r="C10" s="206"/>
      <c r="D10" s="134" t="s">
        <v>93</v>
      </c>
      <c r="E10" s="134" t="s">
        <v>138</v>
      </c>
      <c r="F10" s="141">
        <v>1</v>
      </c>
      <c r="G10" s="142">
        <v>5300</v>
      </c>
      <c r="H10" s="144">
        <f t="shared" si="0"/>
        <v>5300</v>
      </c>
      <c r="I10" s="135"/>
      <c r="J10" s="135"/>
      <c r="K10" s="135"/>
      <c r="L10" s="136"/>
    </row>
    <row r="11" spans="1:12" s="137" customFormat="1" ht="30">
      <c r="A11" s="132">
        <v>4</v>
      </c>
      <c r="B11" s="213" t="s">
        <v>85</v>
      </c>
      <c r="C11" s="213"/>
      <c r="D11" s="134" t="s">
        <v>97</v>
      </c>
      <c r="E11" s="134" t="s">
        <v>138</v>
      </c>
      <c r="F11" s="141">
        <v>1</v>
      </c>
      <c r="G11" s="142">
        <v>750</v>
      </c>
      <c r="H11" s="144">
        <f t="shared" si="0"/>
        <v>750</v>
      </c>
      <c r="I11" s="135"/>
      <c r="J11" s="135"/>
      <c r="K11" s="138"/>
      <c r="L11" s="139"/>
    </row>
    <row r="12" spans="1:12" s="137" customFormat="1" ht="28.5" customHeight="1">
      <c r="A12" s="132">
        <v>5</v>
      </c>
      <c r="B12" s="214" t="s">
        <v>86</v>
      </c>
      <c r="C12" s="214"/>
      <c r="D12" s="134" t="s">
        <v>98</v>
      </c>
      <c r="E12" s="134" t="s">
        <v>138</v>
      </c>
      <c r="F12" s="141">
        <v>1</v>
      </c>
      <c r="G12" s="142">
        <v>1500</v>
      </c>
      <c r="H12" s="144">
        <f t="shared" si="0"/>
        <v>1500</v>
      </c>
      <c r="I12" s="135"/>
      <c r="J12" s="135"/>
      <c r="K12" s="135"/>
      <c r="L12" s="136"/>
    </row>
    <row r="13" spans="1:12" s="137" customFormat="1" ht="50.25" customHeight="1">
      <c r="A13" s="132">
        <v>6</v>
      </c>
      <c r="B13" s="206" t="s">
        <v>130</v>
      </c>
      <c r="C13" s="206"/>
      <c r="D13" s="134" t="s">
        <v>131</v>
      </c>
      <c r="E13" s="134" t="s">
        <v>138</v>
      </c>
      <c r="F13" s="141">
        <v>1</v>
      </c>
      <c r="G13" s="142">
        <v>2500</v>
      </c>
      <c r="H13" s="144">
        <f t="shared" si="0"/>
        <v>2500</v>
      </c>
      <c r="I13" s="135"/>
      <c r="J13" s="135"/>
      <c r="K13" s="135"/>
      <c r="L13" s="136"/>
    </row>
    <row r="14" spans="1:12" s="137" customFormat="1" ht="45">
      <c r="A14" s="132">
        <v>7</v>
      </c>
      <c r="B14" s="206" t="s">
        <v>132</v>
      </c>
      <c r="C14" s="206"/>
      <c r="D14" s="134" t="s">
        <v>133</v>
      </c>
      <c r="E14" s="134" t="s">
        <v>138</v>
      </c>
      <c r="F14" s="141">
        <v>1</v>
      </c>
      <c r="G14" s="142">
        <v>2500</v>
      </c>
      <c r="H14" s="144">
        <f t="shared" si="0"/>
        <v>2500</v>
      </c>
      <c r="I14" s="135"/>
      <c r="J14" s="135"/>
      <c r="K14" s="135"/>
      <c r="L14" s="136"/>
    </row>
    <row r="15" spans="1:12" s="137" customFormat="1" ht="45">
      <c r="A15" s="132">
        <v>8</v>
      </c>
      <c r="B15" s="206" t="s">
        <v>88</v>
      </c>
      <c r="C15" s="206"/>
      <c r="D15" s="134" t="s">
        <v>99</v>
      </c>
      <c r="E15" s="134" t="s">
        <v>138</v>
      </c>
      <c r="F15" s="141">
        <v>1</v>
      </c>
      <c r="G15" s="142">
        <v>2500</v>
      </c>
      <c r="H15" s="144">
        <f t="shared" si="0"/>
        <v>2500</v>
      </c>
      <c r="I15" s="135"/>
      <c r="J15" s="135"/>
      <c r="K15" s="135"/>
      <c r="L15" s="136"/>
    </row>
    <row r="16" spans="1:12" s="137" customFormat="1" ht="45">
      <c r="A16" s="132">
        <v>9</v>
      </c>
      <c r="B16" s="206" t="s">
        <v>89</v>
      </c>
      <c r="C16" s="206"/>
      <c r="D16" s="134" t="s">
        <v>100</v>
      </c>
      <c r="E16" s="134" t="s">
        <v>138</v>
      </c>
      <c r="F16" s="141">
        <v>1</v>
      </c>
      <c r="G16" s="142">
        <v>2500</v>
      </c>
      <c r="H16" s="144">
        <f t="shared" si="0"/>
        <v>2500</v>
      </c>
      <c r="I16" s="135"/>
      <c r="J16" s="135"/>
      <c r="K16" s="135"/>
      <c r="L16" s="136"/>
    </row>
    <row r="17" spans="1:12" s="137" customFormat="1" ht="24" customHeight="1">
      <c r="A17" s="133"/>
      <c r="B17" s="208" t="s">
        <v>135</v>
      </c>
      <c r="C17" s="208"/>
      <c r="D17" s="208"/>
      <c r="E17" s="140"/>
      <c r="F17" s="143"/>
      <c r="G17" s="143"/>
      <c r="H17" s="145">
        <f>SUM(H8:H16)</f>
        <v>20000</v>
      </c>
      <c r="I17" s="135"/>
      <c r="J17" s="135"/>
      <c r="K17" s="135"/>
      <c r="L17" s="136"/>
    </row>
    <row r="19" ht="15">
      <c r="L19" s="12"/>
    </row>
    <row r="20" spans="2:12" ht="15">
      <c r="B20" s="16"/>
      <c r="L20" s="12"/>
    </row>
    <row r="21" spans="2:12" ht="15">
      <c r="B21" s="16"/>
      <c r="L21" s="12"/>
    </row>
    <row r="22" spans="2:12" ht="15">
      <c r="B22" s="16"/>
      <c r="L22" s="12"/>
    </row>
    <row r="23" ht="15">
      <c r="B23" s="16"/>
    </row>
    <row r="24" ht="15">
      <c r="B24" s="16"/>
    </row>
    <row r="25" ht="15">
      <c r="B25" s="16"/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</sheetData>
  <mergeCells count="14">
    <mergeCell ref="B15:C15"/>
    <mergeCell ref="B16:C16"/>
    <mergeCell ref="B7:C7"/>
    <mergeCell ref="B17:D17"/>
    <mergeCell ref="J1:L1"/>
    <mergeCell ref="B3:D3"/>
    <mergeCell ref="A1:D1"/>
    <mergeCell ref="B8:C8"/>
    <mergeCell ref="B9:C9"/>
    <mergeCell ref="B10:C10"/>
    <mergeCell ref="B11:C11"/>
    <mergeCell ref="B12:C12"/>
    <mergeCell ref="B13:C13"/>
    <mergeCell ref="B14:C14"/>
  </mergeCells>
  <printOptions/>
  <pageMargins left="0.2" right="0.2" top="0.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zoomScalePageLayoutView="115" workbookViewId="0" topLeftCell="A7">
      <selection activeCell="M38" sqref="M38"/>
    </sheetView>
  </sheetViews>
  <sheetFormatPr defaultColWidth="8.8515625" defaultRowHeight="15"/>
  <cols>
    <col min="1" max="1" width="3.28125" style="35" customWidth="1"/>
    <col min="2" max="2" width="32.00390625" style="37" customWidth="1"/>
    <col min="3" max="3" width="37.8515625" style="37" customWidth="1"/>
    <col min="4" max="4" width="7.00390625" style="35" customWidth="1"/>
    <col min="5" max="5" width="11.57421875" style="35" customWidth="1"/>
    <col min="6" max="6" width="11.8515625" style="35" bestFit="1" customWidth="1"/>
    <col min="7" max="7" width="8.7109375" style="35" customWidth="1"/>
    <col min="8" max="8" width="13.140625" style="35" bestFit="1" customWidth="1"/>
    <col min="9" max="9" width="10.00390625" style="35" customWidth="1"/>
    <col min="10" max="10" width="11.8515625" style="35" bestFit="1" customWidth="1"/>
    <col min="11" max="11" width="12.421875" style="35" bestFit="1" customWidth="1"/>
    <col min="12" max="12" width="17.8515625" style="35" bestFit="1" customWidth="1"/>
    <col min="13" max="13" width="14.57421875" style="13" bestFit="1" customWidth="1"/>
    <col min="14" max="17" width="8.8515625" style="35" customWidth="1"/>
    <col min="18" max="18" width="8.8515625" style="4" customWidth="1"/>
    <col min="19" max="19" width="10.7109375" style="4" bestFit="1" customWidth="1"/>
    <col min="20" max="16384" width="8.8515625" style="4" customWidth="1"/>
  </cols>
  <sheetData>
    <row r="2" spans="1:13" ht="21">
      <c r="A2" s="32"/>
      <c r="B2" s="32"/>
      <c r="C2" s="111" t="s">
        <v>16</v>
      </c>
      <c r="D2" s="110"/>
      <c r="E2" s="110"/>
      <c r="F2" s="110"/>
      <c r="G2" s="110"/>
      <c r="H2" s="110"/>
      <c r="I2" s="34"/>
      <c r="J2" s="32"/>
      <c r="K2" s="42"/>
      <c r="L2" s="42"/>
      <c r="M2" s="88"/>
    </row>
    <row r="3" spans="1:13" ht="12" customHeight="1">
      <c r="A3" s="33"/>
      <c r="B3" s="32"/>
      <c r="C3" s="32"/>
      <c r="D3" s="33"/>
      <c r="E3" s="32"/>
      <c r="F3" s="32"/>
      <c r="G3" s="34"/>
      <c r="H3" s="32"/>
      <c r="I3" s="34"/>
      <c r="J3" s="32"/>
      <c r="K3" s="227" t="s">
        <v>18</v>
      </c>
      <c r="L3" s="228"/>
      <c r="M3" s="229"/>
    </row>
    <row r="4" spans="1:13" ht="21" customHeight="1">
      <c r="A4" s="33"/>
      <c r="B4" s="41" t="s">
        <v>102</v>
      </c>
      <c r="C4" s="32"/>
      <c r="D4" s="230"/>
      <c r="E4" s="230"/>
      <c r="F4" s="230"/>
      <c r="G4" s="230"/>
      <c r="H4" s="230"/>
      <c r="I4" s="230"/>
      <c r="J4" s="32"/>
      <c r="K4" s="89" t="s">
        <v>19</v>
      </c>
      <c r="L4" s="89" t="s">
        <v>40</v>
      </c>
      <c r="M4" s="57" t="str">
        <f ca="1">'-13.730'!M4</f>
        <v>US $  Rate</v>
      </c>
    </row>
    <row r="5" spans="1:13" ht="15">
      <c r="A5" s="32"/>
      <c r="B5" s="32"/>
      <c r="C5" s="32"/>
      <c r="J5" s="32"/>
      <c r="K5" s="95">
        <f>M35</f>
        <v>17891.67</v>
      </c>
      <c r="L5" s="96">
        <f>K5*M5</f>
        <v>43834.59</v>
      </c>
      <c r="M5" s="97">
        <f>'Unit Price Assumptions'!D4</f>
        <v>2.45</v>
      </c>
    </row>
    <row r="6" spans="1:14" ht="15">
      <c r="A6" s="44"/>
      <c r="B6" s="46"/>
      <c r="C6" s="46"/>
      <c r="D6" s="44"/>
      <c r="E6" s="44"/>
      <c r="F6" s="44"/>
      <c r="G6" s="44"/>
      <c r="H6" s="44"/>
      <c r="I6" s="44"/>
      <c r="J6" s="44"/>
      <c r="K6" s="44"/>
      <c r="L6" s="44"/>
      <c r="M6" s="31"/>
      <c r="N6" s="44"/>
    </row>
    <row r="7" spans="1:14" ht="15.75" thickBot="1">
      <c r="A7" s="44"/>
      <c r="B7" s="46"/>
      <c r="C7" s="46"/>
      <c r="D7" s="44"/>
      <c r="E7" s="44"/>
      <c r="F7" s="44"/>
      <c r="G7" s="44"/>
      <c r="H7" s="44"/>
      <c r="I7" s="44"/>
      <c r="J7" s="44"/>
      <c r="K7" s="44"/>
      <c r="L7" s="44"/>
      <c r="M7" s="31"/>
      <c r="N7" s="44"/>
    </row>
    <row r="8" spans="1:14" ht="15">
      <c r="A8" s="231" t="s">
        <v>96</v>
      </c>
      <c r="B8" s="233" t="s">
        <v>20</v>
      </c>
      <c r="C8" s="235" t="s">
        <v>41</v>
      </c>
      <c r="D8" s="237" t="s">
        <v>31</v>
      </c>
      <c r="E8" s="217" t="s">
        <v>21</v>
      </c>
      <c r="F8" s="218"/>
      <c r="G8" s="217" t="s">
        <v>22</v>
      </c>
      <c r="H8" s="218"/>
      <c r="I8" s="217" t="s">
        <v>23</v>
      </c>
      <c r="J8" s="218"/>
      <c r="K8" s="217" t="s">
        <v>24</v>
      </c>
      <c r="L8" s="218"/>
      <c r="M8" s="239" t="s">
        <v>18</v>
      </c>
      <c r="N8" s="44"/>
    </row>
    <row r="9" spans="1:14" ht="45">
      <c r="A9" s="232"/>
      <c r="B9" s="234"/>
      <c r="C9" s="236"/>
      <c r="D9" s="238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32</v>
      </c>
      <c r="L9" s="48" t="s">
        <v>18</v>
      </c>
      <c r="M9" s="240"/>
      <c r="N9" s="44"/>
    </row>
    <row r="10" spans="1:14" ht="15">
      <c r="A10" s="49" t="s">
        <v>1</v>
      </c>
      <c r="B10" s="215" t="s">
        <v>13</v>
      </c>
      <c r="C10" s="216"/>
      <c r="D10" s="50" t="s">
        <v>2</v>
      </c>
      <c r="E10" s="51" t="s">
        <v>3</v>
      </c>
      <c r="F10" s="52" t="s">
        <v>14</v>
      </c>
      <c r="G10" s="51" t="s">
        <v>4</v>
      </c>
      <c r="H10" s="50" t="s">
        <v>5</v>
      </c>
      <c r="I10" s="51" t="s">
        <v>6</v>
      </c>
      <c r="J10" s="52" t="s">
        <v>7</v>
      </c>
      <c r="K10" s="51" t="s">
        <v>8</v>
      </c>
      <c r="L10" s="53" t="s">
        <v>9</v>
      </c>
      <c r="M10" s="54" t="s">
        <v>10</v>
      </c>
      <c r="N10" s="44"/>
    </row>
    <row r="11" spans="1:17" s="1" customFormat="1" ht="30">
      <c r="A11" s="59">
        <v>1</v>
      </c>
      <c r="B11" s="93" t="s">
        <v>71</v>
      </c>
      <c r="C11" s="93" t="s">
        <v>77</v>
      </c>
      <c r="D11" s="56" t="s">
        <v>11</v>
      </c>
      <c r="E11" s="56"/>
      <c r="F11" s="56">
        <f>101</f>
        <v>101</v>
      </c>
      <c r="G11" s="57"/>
      <c r="H11" s="56">
        <f aca="true" t="shared" si="0" ref="H11">F11*G11</f>
        <v>0</v>
      </c>
      <c r="I11" s="146">
        <f>'Unit Price Assumptions'!D19</f>
        <v>40.82</v>
      </c>
      <c r="J11" s="56">
        <f>F11*I11</f>
        <v>4122.82</v>
      </c>
      <c r="K11" s="146">
        <f>'Unit Price Assumptions'!D21</f>
        <v>4.08</v>
      </c>
      <c r="L11" s="56">
        <f>F11*K11</f>
        <v>412.08</v>
      </c>
      <c r="M11" s="58">
        <f aca="true" t="shared" si="1" ref="M11:M19">H11+J11+L11</f>
        <v>4534.9</v>
      </c>
      <c r="N11" s="40"/>
      <c r="O11" s="34"/>
      <c r="P11" s="34"/>
      <c r="Q11" s="34"/>
    </row>
    <row r="12" spans="1:14" ht="15">
      <c r="A12" s="59"/>
      <c r="B12" s="60" t="s">
        <v>73</v>
      </c>
      <c r="C12" s="60" t="s">
        <v>76</v>
      </c>
      <c r="D12" s="61" t="s">
        <v>11</v>
      </c>
      <c r="E12" s="62">
        <v>1.015</v>
      </c>
      <c r="F12" s="56">
        <f>F11*E12</f>
        <v>102.52</v>
      </c>
      <c r="G12" s="146">
        <f>'Unit Price Assumptions'!C9</f>
        <v>46.35</v>
      </c>
      <c r="H12" s="56">
        <f>F12*G12</f>
        <v>4751.8</v>
      </c>
      <c r="I12" s="57"/>
      <c r="J12" s="56">
        <f aca="true" t="shared" si="2" ref="J12:J19">F12*I12</f>
        <v>0</v>
      </c>
      <c r="K12" s="57"/>
      <c r="L12" s="56">
        <f>F12*K12</f>
        <v>0</v>
      </c>
      <c r="M12" s="58">
        <f t="shared" si="1"/>
        <v>4751.8</v>
      </c>
      <c r="N12" s="44"/>
    </row>
    <row r="13" spans="1:14" ht="15">
      <c r="A13" s="59"/>
      <c r="B13" s="60" t="s">
        <v>74</v>
      </c>
      <c r="C13" s="60" t="s">
        <v>75</v>
      </c>
      <c r="D13" s="61" t="s">
        <v>11</v>
      </c>
      <c r="E13" s="62">
        <v>1.015</v>
      </c>
      <c r="F13" s="56">
        <f>E13*20</f>
        <v>20.3</v>
      </c>
      <c r="G13" s="146">
        <f>'Unit Price Assumptions'!C7</f>
        <v>35.28</v>
      </c>
      <c r="H13" s="56">
        <f aca="true" t="shared" si="3" ref="H13:H20">F13*G13</f>
        <v>716.18</v>
      </c>
      <c r="I13" s="57"/>
      <c r="J13" s="56"/>
      <c r="K13" s="57"/>
      <c r="L13" s="56"/>
      <c r="M13" s="58">
        <f t="shared" si="1"/>
        <v>716.18</v>
      </c>
      <c r="N13" s="44"/>
    </row>
    <row r="14" spans="1:14" ht="15">
      <c r="A14" s="59"/>
      <c r="B14" s="60" t="s">
        <v>29</v>
      </c>
      <c r="C14" s="60" t="s">
        <v>43</v>
      </c>
      <c r="D14" s="61" t="s">
        <v>15</v>
      </c>
      <c r="E14" s="62">
        <v>0.32</v>
      </c>
      <c r="F14" s="56">
        <f>E14*$F$11</f>
        <v>32.32</v>
      </c>
      <c r="G14" s="146">
        <f>'Unit Price Assumptions'!C12</f>
        <v>8.65</v>
      </c>
      <c r="H14" s="56">
        <f t="shared" si="3"/>
        <v>279.57</v>
      </c>
      <c r="I14" s="57"/>
      <c r="J14" s="56">
        <f t="shared" si="2"/>
        <v>0</v>
      </c>
      <c r="K14" s="57"/>
      <c r="L14" s="56">
        <f aca="true" t="shared" si="4" ref="L14:L19">F14*K14</f>
        <v>0</v>
      </c>
      <c r="M14" s="58">
        <f t="shared" si="1"/>
        <v>279.57</v>
      </c>
      <c r="N14" s="44"/>
    </row>
    <row r="15" spans="1:14" ht="15">
      <c r="A15" s="59"/>
      <c r="B15" s="60" t="s">
        <v>37</v>
      </c>
      <c r="C15" s="60" t="s">
        <v>42</v>
      </c>
      <c r="D15" s="61" t="s">
        <v>11</v>
      </c>
      <c r="E15" s="62">
        <v>0.011</v>
      </c>
      <c r="F15" s="56">
        <f>E15*$F$11</f>
        <v>1.11</v>
      </c>
      <c r="G15" s="146">
        <f>'Unit Price Assumptions'!C13</f>
        <v>475.61</v>
      </c>
      <c r="H15" s="56">
        <f t="shared" si="3"/>
        <v>527.93</v>
      </c>
      <c r="I15" s="57"/>
      <c r="J15" s="56">
        <f t="shared" si="2"/>
        <v>0</v>
      </c>
      <c r="K15" s="57"/>
      <c r="L15" s="56">
        <f t="shared" si="4"/>
        <v>0</v>
      </c>
      <c r="M15" s="58">
        <f t="shared" si="1"/>
        <v>527.93</v>
      </c>
      <c r="N15" s="44"/>
    </row>
    <row r="16" spans="1:14" ht="15">
      <c r="A16" s="59"/>
      <c r="B16" s="60" t="s">
        <v>30</v>
      </c>
      <c r="C16" s="60" t="s">
        <v>44</v>
      </c>
      <c r="D16" s="61" t="s">
        <v>12</v>
      </c>
      <c r="E16" s="62">
        <v>2.5</v>
      </c>
      <c r="F16" s="56">
        <f>E16*$F$11</f>
        <v>252.5</v>
      </c>
      <c r="G16" s="146">
        <f>'Unit Price Assumptions'!C15</f>
        <v>1.02</v>
      </c>
      <c r="H16" s="56">
        <f t="shared" si="3"/>
        <v>257.55</v>
      </c>
      <c r="I16" s="57"/>
      <c r="J16" s="56">
        <f t="shared" si="2"/>
        <v>0</v>
      </c>
      <c r="K16" s="57"/>
      <c r="L16" s="56">
        <f t="shared" si="4"/>
        <v>0</v>
      </c>
      <c r="M16" s="58">
        <f t="shared" si="1"/>
        <v>257.55</v>
      </c>
      <c r="N16" s="44"/>
    </row>
    <row r="17" spans="1:14" ht="15">
      <c r="A17" s="59"/>
      <c r="B17" s="60" t="s">
        <v>38</v>
      </c>
      <c r="C17" s="60" t="s">
        <v>47</v>
      </c>
      <c r="D17" s="61" t="s">
        <v>35</v>
      </c>
      <c r="E17" s="62">
        <v>1.03</v>
      </c>
      <c r="F17" s="56">
        <f>E17*((102.98+41.48)/1000)</f>
        <v>0.15</v>
      </c>
      <c r="G17" s="146">
        <f>'Unit Price Assumptions'!C10</f>
        <v>0</v>
      </c>
      <c r="H17" s="56">
        <f t="shared" si="3"/>
        <v>0</v>
      </c>
      <c r="I17" s="146">
        <f>'Unit Price Assumptions'!D10</f>
        <v>0</v>
      </c>
      <c r="J17" s="56">
        <f>F17*I17</f>
        <v>0</v>
      </c>
      <c r="K17" s="57"/>
      <c r="L17" s="56">
        <f t="shared" si="4"/>
        <v>0</v>
      </c>
      <c r="M17" s="58">
        <f t="shared" si="1"/>
        <v>0</v>
      </c>
      <c r="N17" s="44"/>
    </row>
    <row r="18" spans="1:14" ht="15">
      <c r="A18" s="59"/>
      <c r="B18" s="60" t="s">
        <v>39</v>
      </c>
      <c r="C18" s="60" t="s">
        <v>45</v>
      </c>
      <c r="D18" s="61" t="s">
        <v>35</v>
      </c>
      <c r="E18" s="62">
        <v>1.03</v>
      </c>
      <c r="F18" s="56">
        <f>E18*(6754.71/1000)</f>
        <v>6.96</v>
      </c>
      <c r="G18" s="146">
        <f>'Unit Price Assumptions'!C11</f>
        <v>0</v>
      </c>
      <c r="H18" s="56">
        <f t="shared" si="3"/>
        <v>0</v>
      </c>
      <c r="I18" s="146">
        <f>'Unit Price Assumptions'!D11</f>
        <v>0</v>
      </c>
      <c r="J18" s="56">
        <f>F18*I18</f>
        <v>0</v>
      </c>
      <c r="K18" s="57"/>
      <c r="L18" s="56">
        <f t="shared" si="4"/>
        <v>0</v>
      </c>
      <c r="M18" s="58">
        <f t="shared" si="1"/>
        <v>0</v>
      </c>
      <c r="N18" s="44"/>
    </row>
    <row r="19" spans="1:14" ht="15">
      <c r="A19" s="59"/>
      <c r="B19" s="60" t="s">
        <v>28</v>
      </c>
      <c r="C19" s="60" t="s">
        <v>46</v>
      </c>
      <c r="D19" s="61"/>
      <c r="E19" s="57">
        <v>0.13</v>
      </c>
      <c r="F19" s="56">
        <f>E19*$F$11</f>
        <v>13.13</v>
      </c>
      <c r="G19" s="146">
        <f>'Unit Price Assumptions'!C16</f>
        <v>2.04</v>
      </c>
      <c r="H19" s="56">
        <f t="shared" si="3"/>
        <v>26.79</v>
      </c>
      <c r="I19" s="57"/>
      <c r="J19" s="56">
        <f t="shared" si="2"/>
        <v>0</v>
      </c>
      <c r="K19" s="57"/>
      <c r="L19" s="56">
        <f t="shared" si="4"/>
        <v>0</v>
      </c>
      <c r="M19" s="58">
        <f t="shared" si="1"/>
        <v>26.79</v>
      </c>
      <c r="N19" s="44"/>
    </row>
    <row r="20" spans="1:17" s="1" customFormat="1" ht="30">
      <c r="A20" s="59">
        <v>2</v>
      </c>
      <c r="B20" s="93" t="s">
        <v>146</v>
      </c>
      <c r="C20" s="93" t="s">
        <v>147</v>
      </c>
      <c r="D20" s="56" t="s">
        <v>11</v>
      </c>
      <c r="E20" s="56"/>
      <c r="F20" s="56">
        <f>7.9+0.8+9.06</f>
        <v>17.76</v>
      </c>
      <c r="G20" s="57"/>
      <c r="H20" s="56">
        <f t="shared" si="3"/>
        <v>0</v>
      </c>
      <c r="I20" s="146">
        <f>'Unit Price Assumptions'!D19</f>
        <v>40.82</v>
      </c>
      <c r="J20" s="56">
        <f>F20*I20</f>
        <v>724.96</v>
      </c>
      <c r="K20" s="146">
        <f>'Unit Price Assumptions'!D21</f>
        <v>4.08</v>
      </c>
      <c r="L20" s="56">
        <f>F20*K20</f>
        <v>72.46</v>
      </c>
      <c r="M20" s="58">
        <f aca="true" t="shared" si="5" ref="M20:M28">H20+J20+L20</f>
        <v>797.42</v>
      </c>
      <c r="N20" s="40"/>
      <c r="O20" s="34"/>
      <c r="P20" s="34"/>
      <c r="Q20" s="34"/>
    </row>
    <row r="21" spans="1:14" ht="15">
      <c r="A21" s="59"/>
      <c r="B21" s="60" t="s">
        <v>73</v>
      </c>
      <c r="C21" s="60" t="s">
        <v>76</v>
      </c>
      <c r="D21" s="61" t="s">
        <v>11</v>
      </c>
      <c r="E21" s="62">
        <v>1.015</v>
      </c>
      <c r="F21" s="56">
        <f>E21*F20</f>
        <v>18.03</v>
      </c>
      <c r="G21" s="146">
        <f>'Unit Price Assumptions'!C9</f>
        <v>46.35</v>
      </c>
      <c r="H21" s="56">
        <f>F21*G21</f>
        <v>835.69</v>
      </c>
      <c r="I21" s="57"/>
      <c r="J21" s="56">
        <f aca="true" t="shared" si="6" ref="J21">F21*I21</f>
        <v>0</v>
      </c>
      <c r="K21" s="57"/>
      <c r="L21" s="56">
        <f>F21*K21</f>
        <v>0</v>
      </c>
      <c r="M21" s="58">
        <f t="shared" si="5"/>
        <v>835.69</v>
      </c>
      <c r="N21" s="44"/>
    </row>
    <row r="22" spans="1:14" ht="15">
      <c r="A22" s="59"/>
      <c r="B22" s="60" t="s">
        <v>74</v>
      </c>
      <c r="C22" s="60" t="s">
        <v>75</v>
      </c>
      <c r="D22" s="61" t="s">
        <v>11</v>
      </c>
      <c r="E22" s="62">
        <v>1.015</v>
      </c>
      <c r="F22" s="56">
        <f>E22*5.4*4*0.1</f>
        <v>2.19</v>
      </c>
      <c r="G22" s="146">
        <f>'Unit Price Assumptions'!C7</f>
        <v>35.28</v>
      </c>
      <c r="H22" s="56">
        <f aca="true" t="shared" si="7" ref="H22:H28">F22*G22</f>
        <v>77.26</v>
      </c>
      <c r="I22" s="57"/>
      <c r="J22" s="56"/>
      <c r="K22" s="57"/>
      <c r="L22" s="56"/>
      <c r="M22" s="58">
        <f t="shared" si="5"/>
        <v>77.26</v>
      </c>
      <c r="N22" s="44"/>
    </row>
    <row r="23" spans="1:14" ht="15">
      <c r="A23" s="59"/>
      <c r="B23" s="60" t="s">
        <v>29</v>
      </c>
      <c r="C23" s="60" t="s">
        <v>43</v>
      </c>
      <c r="D23" s="61" t="s">
        <v>15</v>
      </c>
      <c r="E23" s="62">
        <v>0.32</v>
      </c>
      <c r="F23" s="56">
        <f>E23*$F$20</f>
        <v>5.68</v>
      </c>
      <c r="G23" s="146">
        <f>'Unit Price Assumptions'!C12</f>
        <v>8.65</v>
      </c>
      <c r="H23" s="56">
        <f t="shared" si="7"/>
        <v>49.13</v>
      </c>
      <c r="I23" s="57"/>
      <c r="J23" s="56">
        <f aca="true" t="shared" si="8" ref="J23:J25">F23*I23</f>
        <v>0</v>
      </c>
      <c r="K23" s="57"/>
      <c r="L23" s="56">
        <f aca="true" t="shared" si="9" ref="L23:L28">F23*K23</f>
        <v>0</v>
      </c>
      <c r="M23" s="58">
        <f t="shared" si="5"/>
        <v>49.13</v>
      </c>
      <c r="N23" s="44"/>
    </row>
    <row r="24" spans="1:14" ht="15">
      <c r="A24" s="59"/>
      <c r="B24" s="60" t="s">
        <v>37</v>
      </c>
      <c r="C24" s="60" t="s">
        <v>42</v>
      </c>
      <c r="D24" s="61" t="s">
        <v>11</v>
      </c>
      <c r="E24" s="62">
        <v>0.011</v>
      </c>
      <c r="F24" s="56">
        <f>E24*$F$20</f>
        <v>0.2</v>
      </c>
      <c r="G24" s="146">
        <f>'Unit Price Assumptions'!C13</f>
        <v>475.61</v>
      </c>
      <c r="H24" s="56">
        <f t="shared" si="7"/>
        <v>95.12</v>
      </c>
      <c r="I24" s="57"/>
      <c r="J24" s="56">
        <f t="shared" si="8"/>
        <v>0</v>
      </c>
      <c r="K24" s="57"/>
      <c r="L24" s="56">
        <f t="shared" si="9"/>
        <v>0</v>
      </c>
      <c r="M24" s="58">
        <f t="shared" si="5"/>
        <v>95.12</v>
      </c>
      <c r="N24" s="44"/>
    </row>
    <row r="25" spans="1:14" ht="15">
      <c r="A25" s="59"/>
      <c r="B25" s="60" t="s">
        <v>30</v>
      </c>
      <c r="C25" s="60" t="s">
        <v>44</v>
      </c>
      <c r="D25" s="61" t="s">
        <v>12</v>
      </c>
      <c r="E25" s="62">
        <v>2.5</v>
      </c>
      <c r="F25" s="56">
        <f>E25*$F$20</f>
        <v>44.4</v>
      </c>
      <c r="G25" s="146">
        <f>'Unit Price Assumptions'!C15</f>
        <v>1.02</v>
      </c>
      <c r="H25" s="56">
        <f t="shared" si="7"/>
        <v>45.29</v>
      </c>
      <c r="I25" s="57"/>
      <c r="J25" s="56">
        <f t="shared" si="8"/>
        <v>0</v>
      </c>
      <c r="K25" s="57"/>
      <c r="L25" s="56">
        <f t="shared" si="9"/>
        <v>0</v>
      </c>
      <c r="M25" s="58">
        <f t="shared" si="5"/>
        <v>45.29</v>
      </c>
      <c r="N25" s="44"/>
    </row>
    <row r="26" spans="1:14" ht="15">
      <c r="A26" s="59"/>
      <c r="B26" s="60" t="s">
        <v>38</v>
      </c>
      <c r="C26" s="60" t="s">
        <v>47</v>
      </c>
      <c r="D26" s="61" t="s">
        <v>35</v>
      </c>
      <c r="E26" s="62">
        <v>1.03</v>
      </c>
      <c r="F26" s="56">
        <f>E26*((22.8+1.1)/1000)</f>
        <v>0.02</v>
      </c>
      <c r="G26" s="146">
        <f>'Unit Price Assumptions'!C10</f>
        <v>0</v>
      </c>
      <c r="H26" s="56">
        <f t="shared" si="7"/>
        <v>0</v>
      </c>
      <c r="I26" s="146">
        <f>'Unit Price Assumptions'!D10</f>
        <v>0</v>
      </c>
      <c r="J26" s="56">
        <f>F26*I26</f>
        <v>0</v>
      </c>
      <c r="K26" s="57"/>
      <c r="L26" s="56">
        <f t="shared" si="9"/>
        <v>0</v>
      </c>
      <c r="M26" s="58">
        <f t="shared" si="5"/>
        <v>0</v>
      </c>
      <c r="N26" s="44"/>
    </row>
    <row r="27" spans="1:14" ht="15">
      <c r="A27" s="59"/>
      <c r="B27" s="60" t="s">
        <v>39</v>
      </c>
      <c r="C27" s="60" t="s">
        <v>45</v>
      </c>
      <c r="D27" s="61" t="s">
        <v>35</v>
      </c>
      <c r="E27" s="62">
        <v>1.03</v>
      </c>
      <c r="F27" s="56">
        <f>E27*((2433.832+25.02+22.99)/1000)</f>
        <v>2.56</v>
      </c>
      <c r="G27" s="146">
        <f>'Unit Price Assumptions'!C11</f>
        <v>0</v>
      </c>
      <c r="H27" s="56">
        <f t="shared" si="7"/>
        <v>0</v>
      </c>
      <c r="I27" s="146">
        <f>'Unit Price Assumptions'!D11</f>
        <v>0</v>
      </c>
      <c r="J27" s="56">
        <f>F27*I27</f>
        <v>0</v>
      </c>
      <c r="K27" s="57"/>
      <c r="L27" s="56">
        <f t="shared" si="9"/>
        <v>0</v>
      </c>
      <c r="M27" s="58">
        <f t="shared" si="5"/>
        <v>0</v>
      </c>
      <c r="N27" s="44"/>
    </row>
    <row r="28" spans="1:14" ht="15.75" thickBot="1">
      <c r="A28" s="59"/>
      <c r="B28" s="60" t="s">
        <v>28</v>
      </c>
      <c r="C28" s="60" t="s">
        <v>46</v>
      </c>
      <c r="D28" s="61"/>
      <c r="E28" s="57">
        <v>0.13</v>
      </c>
      <c r="F28" s="56">
        <f>E28*$F$20</f>
        <v>2.31</v>
      </c>
      <c r="G28" s="146">
        <f>'Unit Price Assumptions'!C16</f>
        <v>2.04</v>
      </c>
      <c r="H28" s="56">
        <f t="shared" si="7"/>
        <v>4.71</v>
      </c>
      <c r="I28" s="57"/>
      <c r="J28" s="56">
        <f aca="true" t="shared" si="10" ref="J28">F28*I28</f>
        <v>0</v>
      </c>
      <c r="K28" s="57"/>
      <c r="L28" s="56">
        <f t="shared" si="9"/>
        <v>0</v>
      </c>
      <c r="M28" s="58">
        <f t="shared" si="5"/>
        <v>4.71</v>
      </c>
      <c r="N28" s="44"/>
    </row>
    <row r="29" spans="1:14" ht="15.75" thickBot="1">
      <c r="A29" s="44"/>
      <c r="B29" s="42"/>
      <c r="C29" s="42"/>
      <c r="D29" s="63"/>
      <c r="E29" s="64"/>
      <c r="F29" s="65"/>
      <c r="G29" s="40"/>
      <c r="H29" s="66">
        <f>SUM(H11:H28)</f>
        <v>7667.02</v>
      </c>
      <c r="I29" s="67"/>
      <c r="J29" s="68">
        <f>SUM(J11:J28)</f>
        <v>4847.78</v>
      </c>
      <c r="K29" s="67"/>
      <c r="L29" s="68">
        <f>SUM(L11:L28)</f>
        <v>484.54</v>
      </c>
      <c r="M29" s="67">
        <f>SUM(M11:M28)</f>
        <v>12999.34</v>
      </c>
      <c r="N29" s="69"/>
    </row>
    <row r="30" spans="1:17" s="2" customFormat="1" ht="15" customHeight="1">
      <c r="A30" s="39"/>
      <c r="B30" s="39"/>
      <c r="C30" s="39"/>
      <c r="D30" s="39"/>
      <c r="E30" s="39"/>
      <c r="F30" s="70"/>
      <c r="G30" s="71"/>
      <c r="H30" s="223" t="s">
        <v>26</v>
      </c>
      <c r="I30" s="224"/>
      <c r="J30" s="72"/>
      <c r="K30" s="104">
        <f>'-10.430'!$K$20</f>
        <v>0.08</v>
      </c>
      <c r="L30" s="72"/>
      <c r="M30" s="74">
        <f>M29*K30</f>
        <v>1039.95</v>
      </c>
      <c r="N30" s="39"/>
      <c r="O30" s="38"/>
      <c r="P30" s="38"/>
      <c r="Q30" s="38"/>
    </row>
    <row r="31" spans="1:17" s="2" customFormat="1" ht="15" customHeight="1" thickBot="1">
      <c r="A31" s="39"/>
      <c r="B31" s="39"/>
      <c r="C31" s="39"/>
      <c r="D31" s="75"/>
      <c r="E31" s="76"/>
      <c r="F31" s="70"/>
      <c r="G31" s="70"/>
      <c r="H31" s="225" t="s">
        <v>27</v>
      </c>
      <c r="I31" s="226"/>
      <c r="J31" s="77"/>
      <c r="K31" s="108" t="str">
        <f>K33</f>
        <v>USD</v>
      </c>
      <c r="L31" s="77"/>
      <c r="M31" s="79">
        <f>M29+M30</f>
        <v>14039.29</v>
      </c>
      <c r="N31" s="39"/>
      <c r="O31" s="38"/>
      <c r="P31" s="38"/>
      <c r="Q31" s="38"/>
    </row>
    <row r="32" spans="1:17" s="2" customFormat="1" ht="15">
      <c r="A32" s="39"/>
      <c r="B32" s="39"/>
      <c r="C32" s="39"/>
      <c r="D32" s="75"/>
      <c r="E32" s="76"/>
      <c r="F32" s="70"/>
      <c r="G32" s="71"/>
      <c r="H32" s="223" t="s">
        <v>66</v>
      </c>
      <c r="I32" s="224"/>
      <c r="J32" s="72"/>
      <c r="K32" s="104">
        <f>'-10.430'!$K$22</f>
        <v>0.08</v>
      </c>
      <c r="L32" s="72"/>
      <c r="M32" s="74">
        <f>M31*K32</f>
        <v>1123.14</v>
      </c>
      <c r="N32" s="39"/>
      <c r="O32" s="38"/>
      <c r="P32" s="38"/>
      <c r="Q32" s="38"/>
    </row>
    <row r="33" spans="1:17" s="2" customFormat="1" ht="15.75" thickBot="1">
      <c r="A33" s="39"/>
      <c r="B33" s="39"/>
      <c r="C33" s="39"/>
      <c r="D33" s="75"/>
      <c r="E33" s="76"/>
      <c r="F33" s="80"/>
      <c r="G33" s="71"/>
      <c r="H33" s="225" t="s">
        <v>27</v>
      </c>
      <c r="I33" s="226"/>
      <c r="J33" s="77"/>
      <c r="K33" s="108" t="s">
        <v>19</v>
      </c>
      <c r="L33" s="77"/>
      <c r="M33" s="79">
        <f>M31+M32</f>
        <v>15162.43</v>
      </c>
      <c r="N33" s="39"/>
      <c r="O33" s="38"/>
      <c r="P33" s="38"/>
      <c r="Q33" s="38"/>
    </row>
    <row r="34" spans="1:17" s="2" customFormat="1" ht="15">
      <c r="A34" s="39"/>
      <c r="B34" s="39"/>
      <c r="C34" s="39"/>
      <c r="D34" s="39"/>
      <c r="E34" s="39"/>
      <c r="F34" s="39"/>
      <c r="G34" s="71"/>
      <c r="H34" s="219" t="s">
        <v>33</v>
      </c>
      <c r="I34" s="220"/>
      <c r="J34" s="72"/>
      <c r="K34" s="104">
        <v>0.18</v>
      </c>
      <c r="L34" s="72"/>
      <c r="M34" s="74">
        <f>M33*K34</f>
        <v>2729.24</v>
      </c>
      <c r="N34" s="39"/>
      <c r="O34" s="38"/>
      <c r="P34" s="38"/>
      <c r="Q34" s="38"/>
    </row>
    <row r="35" spans="1:17" s="2" customFormat="1" ht="15.75" thickBot="1">
      <c r="A35" s="39"/>
      <c r="B35" s="39"/>
      <c r="C35" s="39"/>
      <c r="D35" s="39"/>
      <c r="E35" s="39"/>
      <c r="F35" s="39"/>
      <c r="G35" s="71"/>
      <c r="H35" s="221" t="s">
        <v>25</v>
      </c>
      <c r="I35" s="222"/>
      <c r="J35" s="77"/>
      <c r="K35" s="108" t="s">
        <v>19</v>
      </c>
      <c r="L35" s="77"/>
      <c r="M35" s="79">
        <f>M33+M34</f>
        <v>17891.67</v>
      </c>
      <c r="N35" s="39"/>
      <c r="O35" s="38"/>
      <c r="P35" s="38"/>
      <c r="Q35" s="38"/>
    </row>
    <row r="36" spans="1:17" s="2" customFormat="1" ht="15">
      <c r="A36" s="39"/>
      <c r="B36" s="39"/>
      <c r="C36" s="39"/>
      <c r="D36" s="39"/>
      <c r="E36" s="39"/>
      <c r="F36" s="39"/>
      <c r="G36" s="71"/>
      <c r="H36" s="39"/>
      <c r="I36" s="71"/>
      <c r="J36" s="39"/>
      <c r="K36" s="39"/>
      <c r="L36" s="39"/>
      <c r="M36" s="84"/>
      <c r="N36" s="39"/>
      <c r="O36" s="38"/>
      <c r="P36" s="38"/>
      <c r="Q36" s="38"/>
    </row>
    <row r="37" spans="1:17" s="3" customFormat="1" ht="15">
      <c r="A37" s="43"/>
      <c r="B37" s="43"/>
      <c r="C37" s="43"/>
      <c r="D37" s="85"/>
      <c r="E37" s="43"/>
      <c r="F37" s="43"/>
      <c r="G37" s="86"/>
      <c r="H37" s="43"/>
      <c r="I37" s="86"/>
      <c r="J37" s="43"/>
      <c r="K37" s="43"/>
      <c r="L37" s="43"/>
      <c r="M37" s="30"/>
      <c r="N37" s="43"/>
      <c r="O37" s="36"/>
      <c r="P37" s="36"/>
      <c r="Q37" s="36"/>
    </row>
    <row r="38" spans="1:14" ht="15">
      <c r="A38" s="44"/>
      <c r="B38" s="46"/>
      <c r="C38" s="46"/>
      <c r="D38" s="44"/>
      <c r="E38" s="44"/>
      <c r="F38" s="87"/>
      <c r="G38" s="44"/>
      <c r="H38" s="44"/>
      <c r="I38" s="44"/>
      <c r="J38" s="44"/>
      <c r="K38" s="44"/>
      <c r="L38" s="44"/>
      <c r="M38" s="31"/>
      <c r="N38" s="44"/>
    </row>
    <row r="39" spans="1:14" ht="15">
      <c r="A39" s="44"/>
      <c r="B39" s="46"/>
      <c r="C39" s="46"/>
      <c r="D39" s="44"/>
      <c r="E39" s="44"/>
      <c r="F39" s="87"/>
      <c r="G39" s="44"/>
      <c r="H39" s="44"/>
      <c r="I39" s="44"/>
      <c r="J39" s="44"/>
      <c r="K39" s="44"/>
      <c r="L39" s="44"/>
      <c r="M39" s="31"/>
      <c r="N39" s="44"/>
    </row>
    <row r="40" spans="1:14" ht="15">
      <c r="A40" s="44"/>
      <c r="B40" s="46"/>
      <c r="C40" s="46"/>
      <c r="D40" s="44"/>
      <c r="E40" s="44"/>
      <c r="F40" s="44"/>
      <c r="G40" s="44"/>
      <c r="H40" s="44"/>
      <c r="I40" s="44"/>
      <c r="J40" s="44"/>
      <c r="K40" s="44"/>
      <c r="L40" s="44"/>
      <c r="M40" s="31"/>
      <c r="N40" s="44"/>
    </row>
    <row r="41" spans="1:14" ht="15">
      <c r="A41" s="44"/>
      <c r="B41" s="46"/>
      <c r="C41" s="46"/>
      <c r="D41" s="44"/>
      <c r="E41" s="44"/>
      <c r="F41" s="44"/>
      <c r="G41" s="44"/>
      <c r="H41" s="44"/>
      <c r="I41" s="44"/>
      <c r="J41" s="44"/>
      <c r="K41" s="44"/>
      <c r="L41" s="44"/>
      <c r="M41" s="31"/>
      <c r="N41" s="44"/>
    </row>
  </sheetData>
  <mergeCells count="18">
    <mergeCell ref="K3:M3"/>
    <mergeCell ref="D4:I4"/>
    <mergeCell ref="A8:A9"/>
    <mergeCell ref="B8:B9"/>
    <mergeCell ref="C8:C9"/>
    <mergeCell ref="D8:D9"/>
    <mergeCell ref="E8:F8"/>
    <mergeCell ref="I8:J8"/>
    <mergeCell ref="K8:L8"/>
    <mergeCell ref="M8:M9"/>
    <mergeCell ref="B10:C10"/>
    <mergeCell ref="G8:H8"/>
    <mergeCell ref="H34:I34"/>
    <mergeCell ref="H35:I35"/>
    <mergeCell ref="H30:I30"/>
    <mergeCell ref="H31:I31"/>
    <mergeCell ref="H32:I32"/>
    <mergeCell ref="H33:I33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PageLayoutView="115" workbookViewId="0" topLeftCell="A1">
      <selection activeCell="M22" activeCellId="1" sqref="M20 M22"/>
    </sheetView>
  </sheetViews>
  <sheetFormatPr defaultColWidth="8.8515625" defaultRowHeight="15"/>
  <cols>
    <col min="1" max="1" width="3.28125" style="44" customWidth="1"/>
    <col min="2" max="2" width="37.8515625" style="46" customWidth="1"/>
    <col min="3" max="3" width="41.57421875" style="46" customWidth="1"/>
    <col min="4" max="4" width="5.7109375" style="44" bestFit="1" customWidth="1"/>
    <col min="5" max="5" width="12.57421875" style="44" bestFit="1" customWidth="1"/>
    <col min="6" max="6" width="9.421875" style="44" customWidth="1"/>
    <col min="7" max="7" width="12.140625" style="44" bestFit="1" customWidth="1"/>
    <col min="8" max="8" width="10.28125" style="44" customWidth="1"/>
    <col min="9" max="9" width="12.140625" style="44" bestFit="1" customWidth="1"/>
    <col min="10" max="10" width="10.28125" style="44" customWidth="1"/>
    <col min="11" max="11" width="12.140625" style="44" bestFit="1" customWidth="1"/>
    <col min="12" max="12" width="16.421875" style="44" bestFit="1" customWidth="1"/>
    <col min="13" max="13" width="13.7109375" style="31" customWidth="1"/>
    <col min="14" max="16384" width="8.8515625" style="4" customWidth="1"/>
  </cols>
  <sheetData>
    <row r="2" spans="1:13" ht="21">
      <c r="A2" s="42"/>
      <c r="B2" s="42"/>
      <c r="C2" s="111" t="s">
        <v>16</v>
      </c>
      <c r="D2" s="63"/>
      <c r="E2" s="42"/>
      <c r="F2" s="42"/>
      <c r="G2" s="40"/>
      <c r="H2" s="42"/>
      <c r="I2" s="40"/>
      <c r="J2" s="42"/>
      <c r="K2" s="42"/>
      <c r="L2" s="42"/>
      <c r="M2" s="88"/>
    </row>
    <row r="3" spans="1:13" ht="12" customHeight="1">
      <c r="A3" s="63"/>
      <c r="B3" s="42"/>
      <c r="C3" s="241"/>
      <c r="D3" s="241"/>
      <c r="E3" s="241"/>
      <c r="F3" s="241"/>
      <c r="G3" s="241"/>
      <c r="H3" s="241"/>
      <c r="I3" s="40"/>
      <c r="J3" s="42"/>
      <c r="K3" s="227" t="s">
        <v>18</v>
      </c>
      <c r="L3" s="228"/>
      <c r="M3" s="229"/>
    </row>
    <row r="4" spans="1:13" ht="21" customHeight="1">
      <c r="A4" s="63"/>
      <c r="B4" s="42"/>
      <c r="D4" s="241"/>
      <c r="E4" s="241"/>
      <c r="F4" s="241"/>
      <c r="G4" s="241"/>
      <c r="H4" s="241"/>
      <c r="I4" s="241"/>
      <c r="J4" s="42"/>
      <c r="K4" s="89" t="s">
        <v>19</v>
      </c>
      <c r="L4" s="89" t="s">
        <v>40</v>
      </c>
      <c r="M4" s="57" t="str">
        <f ca="1">'-10.430'!M4</f>
        <v>US $  Rate</v>
      </c>
    </row>
    <row r="5" spans="1:13" ht="15">
      <c r="A5" s="42"/>
      <c r="B5" s="42"/>
      <c r="C5" s="42"/>
      <c r="J5" s="42"/>
      <c r="K5" s="26">
        <f>M25</f>
        <v>938.77</v>
      </c>
      <c r="L5" s="90">
        <f>K5*M5</f>
        <v>2299.99</v>
      </c>
      <c r="M5" s="91">
        <f>'Unit Price Assumptions'!D4</f>
        <v>2.45</v>
      </c>
    </row>
    <row r="6" spans="1:13" ht="19.5">
      <c r="A6" s="42"/>
      <c r="B6" s="41" t="s">
        <v>104</v>
      </c>
      <c r="C6" s="42"/>
      <c r="D6" s="241"/>
      <c r="E6" s="241"/>
      <c r="F6" s="241"/>
      <c r="G6" s="241"/>
      <c r="H6" s="241"/>
      <c r="I6" s="241"/>
      <c r="J6" s="42"/>
      <c r="K6" s="43"/>
      <c r="L6" s="43"/>
      <c r="M6" s="30"/>
    </row>
    <row r="7" spans="1:13" ht="15.75" thickBot="1">
      <c r="A7" s="42"/>
      <c r="B7" s="42"/>
      <c r="C7" s="42"/>
      <c r="D7" s="45"/>
      <c r="E7" s="45"/>
      <c r="F7" s="45"/>
      <c r="G7" s="45"/>
      <c r="H7" s="45"/>
      <c r="I7" s="45"/>
      <c r="J7" s="42"/>
      <c r="K7" s="43"/>
      <c r="L7" s="43"/>
      <c r="M7" s="30"/>
    </row>
    <row r="8" spans="1:13" ht="24.75" customHeight="1">
      <c r="A8" s="231" t="s">
        <v>96</v>
      </c>
      <c r="B8" s="233" t="s">
        <v>20</v>
      </c>
      <c r="C8" s="235" t="s">
        <v>41</v>
      </c>
      <c r="D8" s="237" t="s">
        <v>31</v>
      </c>
      <c r="E8" s="217" t="s">
        <v>21</v>
      </c>
      <c r="F8" s="218"/>
      <c r="G8" s="217" t="s">
        <v>22</v>
      </c>
      <c r="H8" s="218"/>
      <c r="I8" s="217" t="s">
        <v>23</v>
      </c>
      <c r="J8" s="218"/>
      <c r="K8" s="217" t="s">
        <v>24</v>
      </c>
      <c r="L8" s="218"/>
      <c r="M8" s="239" t="s">
        <v>18</v>
      </c>
    </row>
    <row r="9" spans="1:13" ht="30" customHeight="1">
      <c r="A9" s="232"/>
      <c r="B9" s="234"/>
      <c r="C9" s="236"/>
      <c r="D9" s="238"/>
      <c r="E9" s="47" t="s">
        <v>114</v>
      </c>
      <c r="F9" s="48" t="s">
        <v>18</v>
      </c>
      <c r="G9" s="47" t="s">
        <v>32</v>
      </c>
      <c r="H9" s="48" t="s">
        <v>18</v>
      </c>
      <c r="I9" s="47" t="s">
        <v>32</v>
      </c>
      <c r="J9" s="48" t="s">
        <v>18</v>
      </c>
      <c r="K9" s="47" t="s">
        <v>32</v>
      </c>
      <c r="L9" s="48" t="s">
        <v>18</v>
      </c>
      <c r="M9" s="240"/>
    </row>
    <row r="10" spans="1:13" ht="15">
      <c r="A10" s="49" t="s">
        <v>1</v>
      </c>
      <c r="B10" s="215" t="s">
        <v>13</v>
      </c>
      <c r="C10" s="216"/>
      <c r="D10" s="50" t="s">
        <v>2</v>
      </c>
      <c r="E10" s="51" t="s">
        <v>3</v>
      </c>
      <c r="F10" s="52" t="s">
        <v>14</v>
      </c>
      <c r="G10" s="51" t="s">
        <v>4</v>
      </c>
      <c r="H10" s="50" t="s">
        <v>5</v>
      </c>
      <c r="I10" s="51" t="s">
        <v>6</v>
      </c>
      <c r="J10" s="52" t="s">
        <v>7</v>
      </c>
      <c r="K10" s="51" t="s">
        <v>8</v>
      </c>
      <c r="L10" s="53" t="s">
        <v>9</v>
      </c>
      <c r="M10" s="54" t="s">
        <v>10</v>
      </c>
    </row>
    <row r="11" spans="1:13" s="1" customFormat="1" ht="30">
      <c r="A11" s="59">
        <v>1</v>
      </c>
      <c r="B11" s="93" t="s">
        <v>36</v>
      </c>
      <c r="C11" s="93" t="s">
        <v>64</v>
      </c>
      <c r="D11" s="56" t="s">
        <v>11</v>
      </c>
      <c r="E11" s="56"/>
      <c r="F11" s="56">
        <v>6.6</v>
      </c>
      <c r="G11" s="57"/>
      <c r="H11" s="56">
        <f aca="true" t="shared" si="0" ref="H11:H18">F11*G11</f>
        <v>0</v>
      </c>
      <c r="I11" s="146">
        <f>'Unit Price Assumptions'!D20</f>
        <v>40.82</v>
      </c>
      <c r="J11" s="56">
        <f aca="true" t="shared" si="1" ref="J11:J18">F11*I11</f>
        <v>269.41</v>
      </c>
      <c r="K11" s="146">
        <f>'Unit Price Assumptions'!D21</f>
        <v>4.08</v>
      </c>
      <c r="L11" s="56">
        <f aca="true" t="shared" si="2" ref="L11:L18">F11*K11</f>
        <v>26.93</v>
      </c>
      <c r="M11" s="58">
        <f aca="true" t="shared" si="3" ref="M11:M18">H11+J11+L11</f>
        <v>296.34</v>
      </c>
    </row>
    <row r="12" spans="1:13" ht="15">
      <c r="A12" s="59"/>
      <c r="B12" s="60" t="s">
        <v>56</v>
      </c>
      <c r="C12" s="99" t="s">
        <v>61</v>
      </c>
      <c r="D12" s="61" t="s">
        <v>11</v>
      </c>
      <c r="E12" s="62">
        <v>1.015</v>
      </c>
      <c r="F12" s="56">
        <f>$F$11*E12</f>
        <v>6.7</v>
      </c>
      <c r="G12" s="146">
        <f>'Unit Price Assumptions'!C8</f>
        <v>44.97</v>
      </c>
      <c r="H12" s="56">
        <f t="shared" si="0"/>
        <v>301.3</v>
      </c>
      <c r="I12" s="57"/>
      <c r="J12" s="56">
        <f t="shared" si="1"/>
        <v>0</v>
      </c>
      <c r="K12" s="57"/>
      <c r="L12" s="56">
        <f t="shared" si="2"/>
        <v>0</v>
      </c>
      <c r="M12" s="58">
        <f t="shared" si="3"/>
        <v>301.3</v>
      </c>
    </row>
    <row r="13" spans="1:13" ht="15">
      <c r="A13" s="59"/>
      <c r="B13" s="60" t="s">
        <v>29</v>
      </c>
      <c r="C13" s="99" t="s">
        <v>43</v>
      </c>
      <c r="D13" s="61" t="s">
        <v>15</v>
      </c>
      <c r="E13" s="62">
        <v>0.58</v>
      </c>
      <c r="F13" s="56">
        <f>$F$11*E13</f>
        <v>3.83</v>
      </c>
      <c r="G13" s="146">
        <f>'Unit Price Assumptions'!C12</f>
        <v>8.65</v>
      </c>
      <c r="H13" s="56">
        <f t="shared" si="0"/>
        <v>33.13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33.13</v>
      </c>
    </row>
    <row r="14" spans="1:13" ht="15">
      <c r="A14" s="59"/>
      <c r="B14" s="60" t="s">
        <v>34</v>
      </c>
      <c r="C14" s="99" t="s">
        <v>48</v>
      </c>
      <c r="D14" s="61" t="s">
        <v>11</v>
      </c>
      <c r="E14" s="62">
        <v>0.02</v>
      </c>
      <c r="F14" s="56">
        <f>$F$11*E14</f>
        <v>0.13</v>
      </c>
      <c r="G14" s="146">
        <f>'Unit Price Assumptions'!C14</f>
        <v>224.84</v>
      </c>
      <c r="H14" s="56">
        <f t="shared" si="0"/>
        <v>29.23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29.23</v>
      </c>
    </row>
    <row r="15" spans="1:13" ht="15">
      <c r="A15" s="59"/>
      <c r="B15" s="60" t="s">
        <v>30</v>
      </c>
      <c r="C15" s="99" t="s">
        <v>44</v>
      </c>
      <c r="D15" s="61" t="s">
        <v>12</v>
      </c>
      <c r="E15" s="62">
        <v>2.5</v>
      </c>
      <c r="F15" s="56">
        <f>$F$11*E15</f>
        <v>16.5</v>
      </c>
      <c r="G15" s="146">
        <f>'Unit Price Assumptions'!C15</f>
        <v>1.02</v>
      </c>
      <c r="H15" s="56">
        <f t="shared" si="0"/>
        <v>16.83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16.83</v>
      </c>
    </row>
    <row r="16" spans="1:13" ht="15">
      <c r="A16" s="59"/>
      <c r="B16" s="60" t="s">
        <v>38</v>
      </c>
      <c r="C16" s="99" t="s">
        <v>47</v>
      </c>
      <c r="D16" s="61" t="s">
        <v>35</v>
      </c>
      <c r="E16" s="62">
        <v>1.03</v>
      </c>
      <c r="F16" s="56">
        <f>0.02*E16</f>
        <v>0.02</v>
      </c>
      <c r="G16" s="146">
        <f>'Unit Price Assumptions'!C10</f>
        <v>0</v>
      </c>
      <c r="H16" s="56">
        <f t="shared" si="0"/>
        <v>0</v>
      </c>
      <c r="I16" s="146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</row>
    <row r="17" spans="1:13" ht="15">
      <c r="A17" s="59"/>
      <c r="B17" s="60" t="s">
        <v>39</v>
      </c>
      <c r="C17" s="99" t="s">
        <v>45</v>
      </c>
      <c r="D17" s="61" t="s">
        <v>35</v>
      </c>
      <c r="E17" s="62">
        <v>1.03</v>
      </c>
      <c r="F17" s="56">
        <f>0.56*E17</f>
        <v>0.58</v>
      </c>
      <c r="G17" s="146">
        <f>'Unit Price Assumptions'!C11</f>
        <v>0</v>
      </c>
      <c r="H17" s="56">
        <f t="shared" si="0"/>
        <v>0</v>
      </c>
      <c r="I17" s="146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.75" thickBot="1">
      <c r="A18" s="100"/>
      <c r="B18" s="60" t="s">
        <v>28</v>
      </c>
      <c r="C18" s="99" t="s">
        <v>46</v>
      </c>
      <c r="D18" s="61"/>
      <c r="E18" s="57">
        <v>0.39</v>
      </c>
      <c r="F18" s="56">
        <f>$F$11*E18</f>
        <v>2.57</v>
      </c>
      <c r="G18" s="146">
        <f>'Unit Price Assumptions'!C16</f>
        <v>2.04</v>
      </c>
      <c r="H18" s="56">
        <f t="shared" si="0"/>
        <v>5.24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5.24</v>
      </c>
    </row>
    <row r="19" spans="2:13" ht="15.75" thickBot="1">
      <c r="B19" s="42"/>
      <c r="C19" s="42"/>
      <c r="D19" s="63"/>
      <c r="E19" s="42"/>
      <c r="F19" s="101"/>
      <c r="G19" s="40"/>
      <c r="H19" s="66">
        <f>SUM(H11:H18)</f>
        <v>385.73</v>
      </c>
      <c r="I19" s="67"/>
      <c r="J19" s="68">
        <f>SUM(J11:J18)</f>
        <v>269.41</v>
      </c>
      <c r="K19" s="67"/>
      <c r="L19" s="68">
        <f>SUM(L11:L18)</f>
        <v>26.93</v>
      </c>
      <c r="M19" s="102">
        <f>SUM(M11:M18)</f>
        <v>682.07</v>
      </c>
    </row>
    <row r="20" spans="1:14" s="2" customFormat="1" ht="15" customHeight="1">
      <c r="A20" s="39"/>
      <c r="B20" s="39"/>
      <c r="C20" s="39"/>
      <c r="D20" s="39"/>
      <c r="E20" s="39"/>
      <c r="F20" s="70"/>
      <c r="G20" s="71"/>
      <c r="H20" s="223" t="s">
        <v>26</v>
      </c>
      <c r="I20" s="224"/>
      <c r="J20" s="72"/>
      <c r="K20" s="104">
        <v>0.08</v>
      </c>
      <c r="L20" s="72"/>
      <c r="M20" s="74">
        <f>M19*K20</f>
        <v>54.57</v>
      </c>
      <c r="N20" s="5"/>
    </row>
    <row r="21" spans="1:14" s="2" customFormat="1" ht="15" customHeight="1" thickBot="1">
      <c r="A21" s="39"/>
      <c r="B21" s="39"/>
      <c r="C21" s="39"/>
      <c r="D21" s="75"/>
      <c r="E21" s="76"/>
      <c r="F21" s="70"/>
      <c r="G21" s="70"/>
      <c r="H21" s="225" t="s">
        <v>27</v>
      </c>
      <c r="I21" s="226"/>
      <c r="J21" s="77"/>
      <c r="K21" s="105" t="str">
        <f>K23</f>
        <v>USD</v>
      </c>
      <c r="L21" s="77"/>
      <c r="M21" s="79">
        <f>M19+M20</f>
        <v>736.64</v>
      </c>
      <c r="N21" s="5"/>
    </row>
    <row r="22" spans="1:14" s="2" customFormat="1" ht="15">
      <c r="A22" s="39"/>
      <c r="B22" s="39"/>
      <c r="C22" s="39"/>
      <c r="D22" s="75"/>
      <c r="E22" s="76"/>
      <c r="F22" s="70"/>
      <c r="G22" s="71"/>
      <c r="H22" s="223" t="s">
        <v>66</v>
      </c>
      <c r="I22" s="224"/>
      <c r="J22" s="72"/>
      <c r="K22" s="104">
        <v>0.08</v>
      </c>
      <c r="L22" s="72"/>
      <c r="M22" s="74">
        <f>M21*K22</f>
        <v>58.93</v>
      </c>
      <c r="N22" s="5"/>
    </row>
    <row r="23" spans="1:14" s="2" customFormat="1" ht="15.75" thickBot="1">
      <c r="A23" s="39"/>
      <c r="B23" s="39"/>
      <c r="C23" s="39"/>
      <c r="D23" s="75"/>
      <c r="E23" s="76"/>
      <c r="F23" s="80"/>
      <c r="G23" s="71"/>
      <c r="H23" s="225" t="s">
        <v>27</v>
      </c>
      <c r="I23" s="226"/>
      <c r="J23" s="77"/>
      <c r="K23" s="106" t="s">
        <v>19</v>
      </c>
      <c r="L23" s="77"/>
      <c r="M23" s="79">
        <f>M21+M22</f>
        <v>795.57</v>
      </c>
      <c r="N23" s="5"/>
    </row>
    <row r="24" spans="1:14" s="2" customFormat="1" ht="15">
      <c r="A24" s="39"/>
      <c r="B24" s="39"/>
      <c r="C24" s="39"/>
      <c r="D24" s="39"/>
      <c r="E24" s="39"/>
      <c r="F24" s="39"/>
      <c r="G24" s="71"/>
      <c r="H24" s="219" t="s">
        <v>33</v>
      </c>
      <c r="I24" s="220"/>
      <c r="J24" s="72"/>
      <c r="K24" s="104">
        <v>0.18</v>
      </c>
      <c r="L24" s="72"/>
      <c r="M24" s="74">
        <f>M23*K24</f>
        <v>143.2</v>
      </c>
      <c r="N24" s="5"/>
    </row>
    <row r="25" spans="1:14" s="2" customFormat="1" ht="15.75" thickBot="1">
      <c r="A25" s="39"/>
      <c r="B25" s="39"/>
      <c r="C25" s="39"/>
      <c r="D25" s="39"/>
      <c r="E25" s="39"/>
      <c r="F25" s="39"/>
      <c r="G25" s="71"/>
      <c r="H25" s="221" t="s">
        <v>25</v>
      </c>
      <c r="I25" s="222"/>
      <c r="J25" s="77"/>
      <c r="K25" s="107" t="s">
        <v>19</v>
      </c>
      <c r="L25" s="77"/>
      <c r="M25" s="79">
        <f>M23+M24</f>
        <v>938.77</v>
      </c>
      <c r="N25" s="5"/>
    </row>
  </sheetData>
  <mergeCells count="20">
    <mergeCell ref="A8:A9"/>
    <mergeCell ref="B8:B9"/>
    <mergeCell ref="D8:D9"/>
    <mergeCell ref="E8:F8"/>
    <mergeCell ref="G8:H8"/>
    <mergeCell ref="C8:C9"/>
    <mergeCell ref="K3:M3"/>
    <mergeCell ref="D4:I4"/>
    <mergeCell ref="C3:H3"/>
    <mergeCell ref="D6:I6"/>
    <mergeCell ref="H25:I25"/>
    <mergeCell ref="H20:I20"/>
    <mergeCell ref="H21:I21"/>
    <mergeCell ref="H22:I22"/>
    <mergeCell ref="H23:I23"/>
    <mergeCell ref="H24:I24"/>
    <mergeCell ref="B10:C10"/>
    <mergeCell ref="I8:J8"/>
    <mergeCell ref="K8:L8"/>
    <mergeCell ref="M8:M9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 topLeftCell="A1">
      <selection activeCell="E15" sqref="E15"/>
    </sheetView>
  </sheetViews>
  <sheetFormatPr defaultColWidth="8.8515625" defaultRowHeight="15"/>
  <cols>
    <col min="1" max="1" width="4.00390625" style="44" customWidth="1"/>
    <col min="2" max="2" width="30.00390625" style="46" customWidth="1"/>
    <col min="3" max="3" width="34.7109375" style="46" customWidth="1"/>
    <col min="4" max="4" width="7.00390625" style="44" bestFit="1" customWidth="1"/>
    <col min="5" max="5" width="13.00390625" style="44" customWidth="1"/>
    <col min="6" max="6" width="9.421875" style="44" customWidth="1"/>
    <col min="7" max="7" width="8.7109375" style="44" customWidth="1"/>
    <col min="8" max="8" width="11.8515625" style="44" bestFit="1" customWidth="1"/>
    <col min="9" max="9" width="12.140625" style="44" bestFit="1" customWidth="1"/>
    <col min="10" max="10" width="9.8515625" style="44" bestFit="1" customWidth="1"/>
    <col min="11" max="11" width="11.421875" style="44" customWidth="1"/>
    <col min="12" max="12" width="16.140625" style="44" customWidth="1"/>
    <col min="13" max="13" width="14.57421875" style="31" bestFit="1" customWidth="1"/>
    <col min="14" max="16384" width="8.8515625" style="4" customWidth="1"/>
  </cols>
  <sheetData>
    <row r="2" spans="1:13" ht="21">
      <c r="A2" s="42"/>
      <c r="B2" s="42"/>
      <c r="C2" s="111" t="s">
        <v>16</v>
      </c>
      <c r="D2" s="63"/>
      <c r="E2" s="42"/>
      <c r="F2" s="42"/>
      <c r="G2" s="40"/>
      <c r="H2" s="42"/>
      <c r="I2" s="40"/>
      <c r="J2" s="42"/>
      <c r="K2" s="42"/>
      <c r="L2" s="42"/>
      <c r="M2" s="88"/>
    </row>
    <row r="3" spans="1:13" ht="12" customHeight="1">
      <c r="A3" s="63"/>
      <c r="B3" s="42"/>
      <c r="C3" s="42"/>
      <c r="D3" s="63"/>
      <c r="E3" s="42"/>
      <c r="F3" s="42"/>
      <c r="G3" s="40"/>
      <c r="H3" s="42"/>
      <c r="I3" s="40"/>
      <c r="J3" s="42"/>
      <c r="K3" s="227" t="s">
        <v>18</v>
      </c>
      <c r="L3" s="228"/>
      <c r="M3" s="229"/>
    </row>
    <row r="4" spans="1:13" ht="15" customHeight="1">
      <c r="A4" s="63"/>
      <c r="B4" s="42"/>
      <c r="C4" s="42"/>
      <c r="D4" s="241"/>
      <c r="E4" s="241"/>
      <c r="F4" s="241"/>
      <c r="G4" s="241"/>
      <c r="H4" s="241"/>
      <c r="I4" s="241"/>
      <c r="J4" s="42"/>
      <c r="K4" s="89" t="s">
        <v>19</v>
      </c>
      <c r="L4" s="89" t="s">
        <v>40</v>
      </c>
      <c r="M4" s="57" t="str">
        <f ca="1">'-10.430'!M4</f>
        <v>US $  Rate</v>
      </c>
    </row>
    <row r="5" spans="1:13" ht="16.5" customHeight="1">
      <c r="A5" s="42"/>
      <c r="B5" s="42"/>
      <c r="C5" s="42"/>
      <c r="D5" s="241"/>
      <c r="E5" s="241"/>
      <c r="F5" s="241"/>
      <c r="G5" s="241"/>
      <c r="H5" s="241"/>
      <c r="I5" s="241"/>
      <c r="J5" s="42"/>
      <c r="K5" s="26">
        <f>M26</f>
        <v>938.77</v>
      </c>
      <c r="L5" s="90">
        <f>K5*M5</f>
        <v>2299.99</v>
      </c>
      <c r="M5" s="91">
        <f>'Unit Price Assumptions'!D4</f>
        <v>2.45</v>
      </c>
    </row>
    <row r="6" spans="1:13" ht="15">
      <c r="A6" s="42"/>
      <c r="B6" s="42"/>
      <c r="C6" s="42"/>
      <c r="D6" s="241"/>
      <c r="E6" s="241"/>
      <c r="F6" s="241"/>
      <c r="G6" s="241"/>
      <c r="H6" s="241"/>
      <c r="I6" s="241"/>
      <c r="J6" s="42"/>
      <c r="K6" s="43"/>
      <c r="L6" s="43"/>
      <c r="M6" s="30"/>
    </row>
    <row r="7" spans="1:13" ht="19.5" customHeight="1">
      <c r="A7" s="113"/>
      <c r="B7" s="110" t="s">
        <v>116</v>
      </c>
      <c r="C7" s="41"/>
      <c r="D7" s="41"/>
      <c r="E7" s="41"/>
      <c r="F7" s="41"/>
      <c r="G7" s="41"/>
      <c r="H7" s="40"/>
      <c r="I7" s="40"/>
      <c r="J7" s="40"/>
      <c r="K7" s="40"/>
      <c r="L7" s="43"/>
      <c r="M7" s="30"/>
    </row>
    <row r="8" spans="1:13" ht="19.5" customHeight="1" thickBot="1">
      <c r="A8" s="112"/>
      <c r="B8" s="112"/>
      <c r="C8" s="112"/>
      <c r="D8" s="112"/>
      <c r="E8" s="112"/>
      <c r="F8" s="112"/>
      <c r="G8" s="112"/>
      <c r="H8" s="40"/>
      <c r="I8" s="40"/>
      <c r="J8" s="40"/>
      <c r="K8" s="40"/>
      <c r="L8" s="43"/>
      <c r="M8" s="30"/>
    </row>
    <row r="9" spans="1:13" ht="27" customHeight="1">
      <c r="A9" s="231" t="s">
        <v>0</v>
      </c>
      <c r="B9" s="233" t="s">
        <v>20</v>
      </c>
      <c r="C9" s="235" t="s">
        <v>41</v>
      </c>
      <c r="D9" s="237" t="s">
        <v>31</v>
      </c>
      <c r="E9" s="217" t="s">
        <v>21</v>
      </c>
      <c r="F9" s="218"/>
      <c r="G9" s="217" t="s">
        <v>22</v>
      </c>
      <c r="H9" s="218"/>
      <c r="I9" s="217" t="s">
        <v>23</v>
      </c>
      <c r="J9" s="218"/>
      <c r="K9" s="217" t="s">
        <v>24</v>
      </c>
      <c r="L9" s="218"/>
      <c r="M9" s="239" t="s">
        <v>18</v>
      </c>
    </row>
    <row r="10" spans="1:13" ht="27.75" customHeight="1">
      <c r="A10" s="232"/>
      <c r="B10" s="234"/>
      <c r="C10" s="236"/>
      <c r="D10" s="238"/>
      <c r="E10" s="47" t="s">
        <v>114</v>
      </c>
      <c r="F10" s="48" t="s">
        <v>18</v>
      </c>
      <c r="G10" s="47" t="s">
        <v>103</v>
      </c>
      <c r="H10" s="48" t="s">
        <v>18</v>
      </c>
      <c r="I10" s="47" t="s">
        <v>32</v>
      </c>
      <c r="J10" s="48" t="s">
        <v>18</v>
      </c>
      <c r="K10" s="47" t="s">
        <v>103</v>
      </c>
      <c r="L10" s="48" t="s">
        <v>18</v>
      </c>
      <c r="M10" s="240"/>
    </row>
    <row r="11" spans="1:14" ht="15">
      <c r="A11" s="49" t="s">
        <v>1</v>
      </c>
      <c r="B11" s="215" t="s">
        <v>13</v>
      </c>
      <c r="C11" s="216"/>
      <c r="D11" s="52" t="s">
        <v>2</v>
      </c>
      <c r="E11" s="51" t="s">
        <v>3</v>
      </c>
      <c r="F11" s="52" t="s">
        <v>14</v>
      </c>
      <c r="G11" s="51" t="s">
        <v>4</v>
      </c>
      <c r="H11" s="50" t="s">
        <v>5</v>
      </c>
      <c r="I11" s="51" t="s">
        <v>6</v>
      </c>
      <c r="J11" s="52" t="s">
        <v>7</v>
      </c>
      <c r="K11" s="51" t="s">
        <v>8</v>
      </c>
      <c r="L11" s="53" t="s">
        <v>9</v>
      </c>
      <c r="M11" s="109" t="s">
        <v>10</v>
      </c>
      <c r="N11" s="7"/>
    </row>
    <row r="12" spans="1:13" s="1" customFormat="1" ht="33" customHeight="1">
      <c r="A12" s="59">
        <v>1</v>
      </c>
      <c r="B12" s="93" t="s">
        <v>36</v>
      </c>
      <c r="C12" s="93" t="s">
        <v>64</v>
      </c>
      <c r="D12" s="56" t="s">
        <v>11</v>
      </c>
      <c r="E12" s="56"/>
      <c r="F12" s="56">
        <f>'-10.430'!F11</f>
        <v>6.6</v>
      </c>
      <c r="G12" s="57"/>
      <c r="H12" s="56">
        <f aca="true" t="shared" si="0" ref="H12:H19">F12*G12</f>
        <v>0</v>
      </c>
      <c r="I12" s="146">
        <f>'Unit Price Assumptions'!D20</f>
        <v>40.82</v>
      </c>
      <c r="J12" s="56">
        <f aca="true" t="shared" si="1" ref="J12:J19">F12*I12</f>
        <v>269.41</v>
      </c>
      <c r="K12" s="146">
        <f>'Unit Price Assumptions'!D21</f>
        <v>4.08</v>
      </c>
      <c r="L12" s="56">
        <f aca="true" t="shared" si="2" ref="L12:L19">F12*K12</f>
        <v>26.93</v>
      </c>
      <c r="M12" s="58">
        <f aca="true" t="shared" si="3" ref="M12:M19">H12+J12+L12</f>
        <v>296.34</v>
      </c>
    </row>
    <row r="13" spans="1:13" ht="16.5" customHeight="1">
      <c r="A13" s="59"/>
      <c r="B13" s="60" t="s">
        <v>56</v>
      </c>
      <c r="C13" s="99" t="s">
        <v>61</v>
      </c>
      <c r="D13" s="61" t="s">
        <v>11</v>
      </c>
      <c r="E13" s="62">
        <v>1.015</v>
      </c>
      <c r="F13" s="56">
        <f>$F$12*E13</f>
        <v>6.7</v>
      </c>
      <c r="G13" s="146">
        <f>'Unit Price Assumptions'!C8</f>
        <v>44.97</v>
      </c>
      <c r="H13" s="56">
        <f t="shared" si="0"/>
        <v>301.3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301.3</v>
      </c>
    </row>
    <row r="14" spans="1:13" ht="15">
      <c r="A14" s="59"/>
      <c r="B14" s="60" t="s">
        <v>29</v>
      </c>
      <c r="C14" s="99" t="s">
        <v>43</v>
      </c>
      <c r="D14" s="61" t="s">
        <v>15</v>
      </c>
      <c r="E14" s="62">
        <v>0.58</v>
      </c>
      <c r="F14" s="56">
        <f>$F$12*E14</f>
        <v>3.83</v>
      </c>
      <c r="G14" s="146">
        <f>'Unit Price Assumptions'!C12</f>
        <v>8.65</v>
      </c>
      <c r="H14" s="56">
        <f t="shared" si="0"/>
        <v>33.13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33.13</v>
      </c>
    </row>
    <row r="15" spans="1:13" ht="15">
      <c r="A15" s="59"/>
      <c r="B15" s="60" t="s">
        <v>34</v>
      </c>
      <c r="C15" s="99" t="s">
        <v>48</v>
      </c>
      <c r="D15" s="61" t="s">
        <v>11</v>
      </c>
      <c r="E15" s="62">
        <v>0.02</v>
      </c>
      <c r="F15" s="56">
        <f>$F$12*E15</f>
        <v>0.13</v>
      </c>
      <c r="G15" s="146">
        <f>'Unit Price Assumptions'!C14</f>
        <v>224.84</v>
      </c>
      <c r="H15" s="56">
        <f t="shared" si="0"/>
        <v>29.23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29.23</v>
      </c>
    </row>
    <row r="16" spans="1:13" ht="15">
      <c r="A16" s="59"/>
      <c r="B16" s="60" t="s">
        <v>30</v>
      </c>
      <c r="C16" s="99" t="s">
        <v>44</v>
      </c>
      <c r="D16" s="61" t="s">
        <v>12</v>
      </c>
      <c r="E16" s="62">
        <v>2.5</v>
      </c>
      <c r="F16" s="56">
        <f>$F$12*E16</f>
        <v>16.5</v>
      </c>
      <c r="G16" s="146">
        <f>'Unit Price Assumptions'!C15</f>
        <v>1.02</v>
      </c>
      <c r="H16" s="56">
        <f t="shared" si="0"/>
        <v>16.83</v>
      </c>
      <c r="I16" s="57"/>
      <c r="J16" s="56">
        <f t="shared" si="1"/>
        <v>0</v>
      </c>
      <c r="K16" s="57"/>
      <c r="L16" s="56">
        <f t="shared" si="2"/>
        <v>0</v>
      </c>
      <c r="M16" s="58">
        <f t="shared" si="3"/>
        <v>16.83</v>
      </c>
    </row>
    <row r="17" spans="1:13" ht="15">
      <c r="A17" s="59"/>
      <c r="B17" s="60" t="s">
        <v>38</v>
      </c>
      <c r="C17" s="99" t="s">
        <v>47</v>
      </c>
      <c r="D17" s="61" t="s">
        <v>35</v>
      </c>
      <c r="E17" s="62">
        <v>1.03</v>
      </c>
      <c r="F17" s="56">
        <f>0.02*E17</f>
        <v>0.02</v>
      </c>
      <c r="G17" s="146">
        <f>'Unit Price Assumptions'!C10</f>
        <v>0</v>
      </c>
      <c r="H17" s="56">
        <f t="shared" si="0"/>
        <v>0</v>
      </c>
      <c r="I17" s="146">
        <f>'Unit Price Assumptions'!D10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">
      <c r="A18" s="59"/>
      <c r="B18" s="60" t="s">
        <v>39</v>
      </c>
      <c r="C18" s="99" t="s">
        <v>45</v>
      </c>
      <c r="D18" s="61" t="s">
        <v>35</v>
      </c>
      <c r="E18" s="62">
        <v>1.03</v>
      </c>
      <c r="F18" s="56">
        <f>0.56*E18</f>
        <v>0.58</v>
      </c>
      <c r="G18" s="146">
        <f>'Unit Price Assumptions'!C11</f>
        <v>0</v>
      </c>
      <c r="H18" s="56">
        <f t="shared" si="0"/>
        <v>0</v>
      </c>
      <c r="I18" s="146">
        <f>'Unit Price Assumptions'!D11</f>
        <v>0</v>
      </c>
      <c r="J18" s="56">
        <f t="shared" si="1"/>
        <v>0</v>
      </c>
      <c r="K18" s="57"/>
      <c r="L18" s="56">
        <f t="shared" si="2"/>
        <v>0</v>
      </c>
      <c r="M18" s="58">
        <f t="shared" si="3"/>
        <v>0</v>
      </c>
    </row>
    <row r="19" spans="1:13" ht="15.75" thickBot="1">
      <c r="A19" s="100"/>
      <c r="B19" s="60" t="s">
        <v>28</v>
      </c>
      <c r="C19" s="99" t="s">
        <v>46</v>
      </c>
      <c r="D19" s="61"/>
      <c r="E19" s="57">
        <v>0.39</v>
      </c>
      <c r="F19" s="56">
        <f>$F$12*E19</f>
        <v>2.57</v>
      </c>
      <c r="G19" s="146">
        <f>'Unit Price Assumptions'!C16</f>
        <v>2.04</v>
      </c>
      <c r="H19" s="56">
        <f t="shared" si="0"/>
        <v>5.24</v>
      </c>
      <c r="I19" s="57"/>
      <c r="J19" s="56">
        <f t="shared" si="1"/>
        <v>0</v>
      </c>
      <c r="K19" s="57"/>
      <c r="L19" s="56">
        <f t="shared" si="2"/>
        <v>0</v>
      </c>
      <c r="M19" s="58">
        <f t="shared" si="3"/>
        <v>5.24</v>
      </c>
    </row>
    <row r="20" spans="2:13" ht="15.75" thickBot="1">
      <c r="B20" s="42"/>
      <c r="C20" s="42"/>
      <c r="D20" s="63"/>
      <c r="E20" s="42"/>
      <c r="F20" s="101"/>
      <c r="G20" s="40"/>
      <c r="H20" s="66">
        <f>SUM(H12:H19)</f>
        <v>385.73</v>
      </c>
      <c r="I20" s="67"/>
      <c r="J20" s="68">
        <f>SUM(J12:J19)</f>
        <v>269.41</v>
      </c>
      <c r="K20" s="67"/>
      <c r="L20" s="68">
        <f>SUM(L12:L19)</f>
        <v>26.93</v>
      </c>
      <c r="M20" s="102">
        <f>SUM(M12:M19)</f>
        <v>682.07</v>
      </c>
    </row>
    <row r="21" spans="1:14" s="2" customFormat="1" ht="15" customHeight="1">
      <c r="A21" s="39"/>
      <c r="B21" s="39"/>
      <c r="C21" s="39"/>
      <c r="D21" s="39"/>
      <c r="E21" s="39"/>
      <c r="F21" s="70"/>
      <c r="G21" s="71"/>
      <c r="H21" s="223" t="s">
        <v>26</v>
      </c>
      <c r="I21" s="224"/>
      <c r="J21" s="72"/>
      <c r="K21" s="82">
        <f>'-10.430'!$K$20</f>
        <v>0.08</v>
      </c>
      <c r="L21" s="72"/>
      <c r="M21" s="74">
        <f>M20*K21</f>
        <v>54.57</v>
      </c>
      <c r="N21" s="5"/>
    </row>
    <row r="22" spans="1:14" s="2" customFormat="1" ht="15" customHeight="1" thickBot="1">
      <c r="A22" s="39"/>
      <c r="B22" s="39"/>
      <c r="C22" s="39"/>
      <c r="D22" s="75"/>
      <c r="E22" s="76"/>
      <c r="F22" s="70"/>
      <c r="G22" s="70"/>
      <c r="H22" s="225" t="s">
        <v>27</v>
      </c>
      <c r="I22" s="226"/>
      <c r="J22" s="77"/>
      <c r="K22" s="78" t="str">
        <f>K24</f>
        <v>USD</v>
      </c>
      <c r="L22" s="77"/>
      <c r="M22" s="79">
        <f>M20+M21</f>
        <v>736.64</v>
      </c>
      <c r="N22" s="5"/>
    </row>
    <row r="23" spans="1:14" s="2" customFormat="1" ht="15">
      <c r="A23" s="39"/>
      <c r="B23" s="39"/>
      <c r="C23" s="39"/>
      <c r="D23" s="75"/>
      <c r="E23" s="76"/>
      <c r="F23" s="70"/>
      <c r="G23" s="71"/>
      <c r="H23" s="223" t="s">
        <v>66</v>
      </c>
      <c r="I23" s="224"/>
      <c r="J23" s="72"/>
      <c r="K23" s="82">
        <f>'-10.430'!$K$22</f>
        <v>0.08</v>
      </c>
      <c r="L23" s="72"/>
      <c r="M23" s="74">
        <f>M22*K23</f>
        <v>58.93</v>
      </c>
      <c r="N23" s="5"/>
    </row>
    <row r="24" spans="1:14" s="2" customFormat="1" ht="15.75" thickBot="1">
      <c r="A24" s="39"/>
      <c r="B24" s="39"/>
      <c r="C24" s="39"/>
      <c r="D24" s="75"/>
      <c r="E24" s="76"/>
      <c r="F24" s="80"/>
      <c r="G24" s="71"/>
      <c r="H24" s="225" t="s">
        <v>27</v>
      </c>
      <c r="I24" s="226"/>
      <c r="J24" s="77"/>
      <c r="K24" s="81" t="s">
        <v>19</v>
      </c>
      <c r="L24" s="77"/>
      <c r="M24" s="79">
        <f>M22+M23</f>
        <v>795.57</v>
      </c>
      <c r="N24" s="5"/>
    </row>
    <row r="25" spans="1:14" s="2" customFormat="1" ht="15">
      <c r="A25" s="39"/>
      <c r="B25" s="39"/>
      <c r="C25" s="39"/>
      <c r="D25" s="39"/>
      <c r="E25" s="39"/>
      <c r="F25" s="39"/>
      <c r="G25" s="71"/>
      <c r="H25" s="219" t="s">
        <v>33</v>
      </c>
      <c r="I25" s="220"/>
      <c r="J25" s="72"/>
      <c r="K25" s="82">
        <v>0.18</v>
      </c>
      <c r="L25" s="72"/>
      <c r="M25" s="74">
        <f>M24*K25</f>
        <v>143.2</v>
      </c>
      <c r="N25" s="5"/>
    </row>
    <row r="26" spans="1:14" s="2" customFormat="1" ht="15.75" thickBot="1">
      <c r="A26" s="39"/>
      <c r="B26" s="39"/>
      <c r="C26" s="39"/>
      <c r="D26" s="39"/>
      <c r="E26" s="39"/>
      <c r="F26" s="39"/>
      <c r="G26" s="71"/>
      <c r="H26" s="221" t="s">
        <v>25</v>
      </c>
      <c r="I26" s="222"/>
      <c r="J26" s="77"/>
      <c r="K26" s="83" t="s">
        <v>19</v>
      </c>
      <c r="L26" s="77"/>
      <c r="M26" s="79">
        <f>M24+M25</f>
        <v>938.77</v>
      </c>
      <c r="N26" s="5"/>
    </row>
  </sheetData>
  <mergeCells count="20">
    <mergeCell ref="K3:M3"/>
    <mergeCell ref="D4:I4"/>
    <mergeCell ref="D5:I5"/>
    <mergeCell ref="I9:J9"/>
    <mergeCell ref="K9:L9"/>
    <mergeCell ref="M9:M10"/>
    <mergeCell ref="D6:I6"/>
    <mergeCell ref="C9:C10"/>
    <mergeCell ref="H26:I26"/>
    <mergeCell ref="A9:A10"/>
    <mergeCell ref="B9:B10"/>
    <mergeCell ref="D9:D10"/>
    <mergeCell ref="E9:F9"/>
    <mergeCell ref="G9:H9"/>
    <mergeCell ref="B11:C11"/>
    <mergeCell ref="H21:I21"/>
    <mergeCell ref="H22:I22"/>
    <mergeCell ref="H23:I23"/>
    <mergeCell ref="H24:I24"/>
    <mergeCell ref="H25:I25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 topLeftCell="A13">
      <selection activeCell="D19" sqref="D19"/>
    </sheetView>
  </sheetViews>
  <sheetFormatPr defaultColWidth="8.8515625" defaultRowHeight="15"/>
  <cols>
    <col min="1" max="1" width="3.421875" style="44" bestFit="1" customWidth="1"/>
    <col min="2" max="2" width="35.7109375" style="46" customWidth="1"/>
    <col min="3" max="3" width="39.00390625" style="46" customWidth="1"/>
    <col min="4" max="4" width="6.8515625" style="44" customWidth="1"/>
    <col min="5" max="5" width="12.140625" style="44" customWidth="1"/>
    <col min="6" max="6" width="9.421875" style="44" customWidth="1"/>
    <col min="7" max="7" width="8.7109375" style="44" customWidth="1"/>
    <col min="8" max="8" width="11.8515625" style="44" bestFit="1" customWidth="1"/>
    <col min="9" max="9" width="8.7109375" style="44" customWidth="1"/>
    <col min="10" max="10" width="11.8515625" style="44" bestFit="1" customWidth="1"/>
    <col min="11" max="11" width="12.140625" style="44" customWidth="1"/>
    <col min="12" max="12" width="17.8515625" style="44" bestFit="1" customWidth="1"/>
    <col min="13" max="13" width="14.57421875" style="114" bestFit="1" customWidth="1"/>
    <col min="14" max="16384" width="8.8515625" style="4" customWidth="1"/>
  </cols>
  <sheetData>
    <row r="1" spans="1:13" ht="15">
      <c r="A1" s="42"/>
      <c r="B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227" t="s">
        <v>18</v>
      </c>
      <c r="L2" s="228"/>
      <c r="M2" s="229"/>
    </row>
    <row r="3" spans="1:13" ht="15" customHeight="1">
      <c r="A3" s="63"/>
      <c r="B3" s="42"/>
      <c r="C3" s="42"/>
      <c r="D3" s="241"/>
      <c r="E3" s="241"/>
      <c r="F3" s="241"/>
      <c r="G3" s="241"/>
      <c r="H3" s="241"/>
      <c r="I3" s="241"/>
      <c r="J3" s="42"/>
      <c r="K3" s="89" t="s">
        <v>19</v>
      </c>
      <c r="L3" s="89" t="s">
        <v>40</v>
      </c>
      <c r="M3" s="57" t="str">
        <f ca="1">'-10.430'!M4</f>
        <v>US $  Rate</v>
      </c>
    </row>
    <row r="4" spans="1:13" ht="16.5" customHeight="1">
      <c r="A4" s="42"/>
      <c r="B4" s="42"/>
      <c r="C4" s="42"/>
      <c r="D4" s="241"/>
      <c r="E4" s="241"/>
      <c r="F4" s="241"/>
      <c r="G4" s="241"/>
      <c r="H4" s="241"/>
      <c r="I4" s="241"/>
      <c r="J4" s="42"/>
      <c r="K4" s="26">
        <f>M41</f>
        <v>6344.67</v>
      </c>
      <c r="L4" s="90">
        <f>K4*M4</f>
        <v>15544.44</v>
      </c>
      <c r="M4" s="91">
        <f>'Unit Price Assumptions'!D4</f>
        <v>2.45</v>
      </c>
    </row>
    <row r="5" spans="1:13" ht="21">
      <c r="A5" s="42"/>
      <c r="B5" s="110" t="s">
        <v>118</v>
      </c>
      <c r="C5" s="42"/>
      <c r="D5" s="241"/>
      <c r="E5" s="241"/>
      <c r="F5" s="241"/>
      <c r="G5" s="241"/>
      <c r="H5" s="241"/>
      <c r="I5" s="241"/>
      <c r="J5" s="42"/>
      <c r="K5" s="43"/>
      <c r="L5" s="43"/>
      <c r="M5" s="30"/>
    </row>
    <row r="6" spans="1:13" ht="15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spans="1:13" ht="18" customHeight="1" thickBot="1">
      <c r="A7" s="241" t="s">
        <v>117</v>
      </c>
      <c r="B7" s="241"/>
      <c r="C7" s="241"/>
      <c r="D7" s="241"/>
      <c r="E7" s="241"/>
      <c r="F7" s="241"/>
      <c r="G7" s="241"/>
      <c r="H7" s="40"/>
      <c r="I7" s="40"/>
      <c r="J7" s="40"/>
      <c r="K7" s="40"/>
      <c r="L7" s="43"/>
      <c r="M7" s="30"/>
    </row>
    <row r="8" spans="1:13" ht="27" customHeight="1">
      <c r="A8" s="231" t="s">
        <v>0</v>
      </c>
      <c r="B8" s="233" t="s">
        <v>20</v>
      </c>
      <c r="C8" s="235" t="s">
        <v>41</v>
      </c>
      <c r="D8" s="237" t="s">
        <v>31</v>
      </c>
      <c r="E8" s="217" t="s">
        <v>21</v>
      </c>
      <c r="F8" s="218"/>
      <c r="G8" s="217" t="s">
        <v>22</v>
      </c>
      <c r="H8" s="218"/>
      <c r="I8" s="217" t="s">
        <v>23</v>
      </c>
      <c r="J8" s="218"/>
      <c r="K8" s="217" t="s">
        <v>24</v>
      </c>
      <c r="L8" s="218"/>
      <c r="M8" s="242" t="s">
        <v>18</v>
      </c>
    </row>
    <row r="9" spans="1:13" ht="42.75" customHeight="1">
      <c r="A9" s="232"/>
      <c r="B9" s="234"/>
      <c r="C9" s="236"/>
      <c r="D9" s="238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32</v>
      </c>
      <c r="L9" s="48" t="s">
        <v>18</v>
      </c>
      <c r="M9" s="243"/>
    </row>
    <row r="10" spans="1:13" ht="15">
      <c r="A10" s="115" t="s">
        <v>1</v>
      </c>
      <c r="B10" s="215" t="s">
        <v>13</v>
      </c>
      <c r="C10" s="216"/>
      <c r="D10" s="116" t="s">
        <v>2</v>
      </c>
      <c r="E10" s="115" t="s">
        <v>3</v>
      </c>
      <c r="F10" s="53" t="s">
        <v>14</v>
      </c>
      <c r="G10" s="115" t="s">
        <v>4</v>
      </c>
      <c r="H10" s="53" t="s">
        <v>5</v>
      </c>
      <c r="I10" s="51" t="s">
        <v>6</v>
      </c>
      <c r="J10" s="116" t="s">
        <v>7</v>
      </c>
      <c r="K10" s="51" t="s">
        <v>8</v>
      </c>
      <c r="L10" s="116" t="s">
        <v>9</v>
      </c>
      <c r="M10" s="54" t="s">
        <v>10</v>
      </c>
    </row>
    <row r="11" spans="1:13" s="1" customFormat="1" ht="30">
      <c r="A11" s="55">
        <v>1</v>
      </c>
      <c r="B11" s="93" t="s">
        <v>62</v>
      </c>
      <c r="C11" s="93" t="s">
        <v>63</v>
      </c>
      <c r="D11" s="56" t="s">
        <v>11</v>
      </c>
      <c r="E11" s="56"/>
      <c r="F11" s="56">
        <f>(0.85+14.52+5.12+2.44+0.49+1.1)</f>
        <v>24.52</v>
      </c>
      <c r="G11" s="57"/>
      <c r="H11" s="56">
        <f aca="true" t="shared" si="0" ref="H11:H34">F11*G11</f>
        <v>0</v>
      </c>
      <c r="I11" s="146">
        <f>'Unit Price Assumptions'!D17</f>
        <v>40.82</v>
      </c>
      <c r="J11" s="56">
        <f aca="true" t="shared" si="1" ref="J11:J34">F11*I11</f>
        <v>1000.91</v>
      </c>
      <c r="K11" s="146">
        <f>'Unit Price Assumptions'!D21</f>
        <v>4.08</v>
      </c>
      <c r="L11" s="56">
        <f aca="true" t="shared" si="2" ref="L11:L34">F11*K11</f>
        <v>100.04</v>
      </c>
      <c r="M11" s="58">
        <f aca="true" t="shared" si="3" ref="M11:M34">H11+J11+L11</f>
        <v>1100.95</v>
      </c>
    </row>
    <row r="12" spans="1:13" ht="15">
      <c r="A12" s="59"/>
      <c r="B12" s="60" t="s">
        <v>56</v>
      </c>
      <c r="C12" s="99" t="s">
        <v>61</v>
      </c>
      <c r="D12" s="61" t="s">
        <v>11</v>
      </c>
      <c r="E12" s="62">
        <v>1.015</v>
      </c>
      <c r="F12" s="56">
        <f>$F$11*E12</f>
        <v>24.89</v>
      </c>
      <c r="G12" s="146">
        <f>'Unit Price Assumptions'!C8</f>
        <v>44.97</v>
      </c>
      <c r="H12" s="56">
        <f t="shared" si="0"/>
        <v>1119.3</v>
      </c>
      <c r="I12" s="57"/>
      <c r="J12" s="56">
        <f t="shared" si="1"/>
        <v>0</v>
      </c>
      <c r="K12" s="57"/>
      <c r="L12" s="56">
        <f t="shared" si="2"/>
        <v>0</v>
      </c>
      <c r="M12" s="58">
        <f t="shared" si="3"/>
        <v>1119.3</v>
      </c>
    </row>
    <row r="13" spans="1:13" ht="15">
      <c r="A13" s="59"/>
      <c r="B13" s="60" t="s">
        <v>29</v>
      </c>
      <c r="C13" s="99" t="s">
        <v>43</v>
      </c>
      <c r="D13" s="61" t="s">
        <v>15</v>
      </c>
      <c r="E13" s="62">
        <v>0.61</v>
      </c>
      <c r="F13" s="56">
        <f>$F$11*E13</f>
        <v>14.96</v>
      </c>
      <c r="G13" s="146">
        <f>'Unit Price Assumptions'!C12</f>
        <v>8.65</v>
      </c>
      <c r="H13" s="56">
        <f t="shared" si="0"/>
        <v>129.4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129.4</v>
      </c>
    </row>
    <row r="14" spans="1:13" ht="15">
      <c r="A14" s="59"/>
      <c r="B14" s="60" t="s">
        <v>37</v>
      </c>
      <c r="C14" s="60" t="s">
        <v>42</v>
      </c>
      <c r="D14" s="61" t="s">
        <v>11</v>
      </c>
      <c r="E14" s="62">
        <v>0.013</v>
      </c>
      <c r="F14" s="56">
        <f>$F$11*E14</f>
        <v>0.32</v>
      </c>
      <c r="G14" s="146">
        <f>'Unit Price Assumptions'!C13</f>
        <v>475.61</v>
      </c>
      <c r="H14" s="56">
        <f t="shared" si="0"/>
        <v>152.2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152.2</v>
      </c>
    </row>
    <row r="15" spans="1:13" ht="15">
      <c r="A15" s="59"/>
      <c r="B15" s="60" t="s">
        <v>30</v>
      </c>
      <c r="C15" s="99" t="s">
        <v>44</v>
      </c>
      <c r="D15" s="61" t="s">
        <v>12</v>
      </c>
      <c r="E15" s="62">
        <v>2.5</v>
      </c>
      <c r="F15" s="56">
        <f>$F$11*E15</f>
        <v>61.3</v>
      </c>
      <c r="G15" s="146">
        <f>'Unit Price Assumptions'!C15</f>
        <v>1.02</v>
      </c>
      <c r="H15" s="56">
        <f t="shared" si="0"/>
        <v>62.53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62.53</v>
      </c>
    </row>
    <row r="16" spans="1:13" ht="15">
      <c r="A16" s="59"/>
      <c r="B16" s="60" t="s">
        <v>38</v>
      </c>
      <c r="C16" s="99" t="s">
        <v>47</v>
      </c>
      <c r="D16" s="61" t="s">
        <v>35</v>
      </c>
      <c r="E16" s="62">
        <v>1.03</v>
      </c>
      <c r="F16" s="56">
        <f>E16*1.025</f>
        <v>1.06</v>
      </c>
      <c r="G16" s="146">
        <f>'Unit Price Assumptions'!C10</f>
        <v>0</v>
      </c>
      <c r="H16" s="56">
        <f t="shared" si="0"/>
        <v>0</v>
      </c>
      <c r="I16" s="146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</row>
    <row r="17" spans="1:13" ht="12" customHeight="1">
      <c r="A17" s="59"/>
      <c r="B17" s="60" t="s">
        <v>39</v>
      </c>
      <c r="C17" s="99" t="s">
        <v>45</v>
      </c>
      <c r="D17" s="61" t="s">
        <v>35</v>
      </c>
      <c r="E17" s="62">
        <v>1.03</v>
      </c>
      <c r="F17" s="56">
        <f>E17*4.528</f>
        <v>4.66</v>
      </c>
      <c r="G17" s="146">
        <f>'Unit Price Assumptions'!C11</f>
        <v>0</v>
      </c>
      <c r="H17" s="56">
        <f t="shared" si="0"/>
        <v>0</v>
      </c>
      <c r="I17" s="146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">
      <c r="A18" s="100"/>
      <c r="B18" s="60" t="s">
        <v>28</v>
      </c>
      <c r="C18" s="99" t="s">
        <v>46</v>
      </c>
      <c r="D18" s="61"/>
      <c r="E18" s="57">
        <v>0.25</v>
      </c>
      <c r="F18" s="56">
        <f>$F$11*E18</f>
        <v>6.13</v>
      </c>
      <c r="G18" s="146">
        <f>'Unit Price Assumptions'!C16</f>
        <v>2.04</v>
      </c>
      <c r="H18" s="56">
        <f t="shared" si="0"/>
        <v>12.51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12.51</v>
      </c>
    </row>
    <row r="19" spans="1:13" s="1" customFormat="1" ht="30">
      <c r="A19" s="55">
        <v>2</v>
      </c>
      <c r="B19" s="93" t="s">
        <v>70</v>
      </c>
      <c r="C19" s="93" t="s">
        <v>65</v>
      </c>
      <c r="D19" s="56" t="s">
        <v>11</v>
      </c>
      <c r="E19" s="56"/>
      <c r="F19" s="94">
        <f>13.31</f>
        <v>13.31</v>
      </c>
      <c r="G19" s="57"/>
      <c r="H19" s="56">
        <f aca="true" t="shared" si="4" ref="H19:H26">F19*G19</f>
        <v>0</v>
      </c>
      <c r="I19" s="146">
        <f>'Unit Price Assumptions'!D18</f>
        <v>40.82</v>
      </c>
      <c r="J19" s="56">
        <f aca="true" t="shared" si="5" ref="J19:J26">F19*I19</f>
        <v>543.31</v>
      </c>
      <c r="K19" s="146">
        <f>K11</f>
        <v>4.08</v>
      </c>
      <c r="L19" s="56">
        <f aca="true" t="shared" si="6" ref="L19:L26">F19*K19</f>
        <v>54.3</v>
      </c>
      <c r="M19" s="58">
        <f t="shared" si="3"/>
        <v>597.61</v>
      </c>
    </row>
    <row r="20" spans="1:13" ht="15">
      <c r="A20" s="59"/>
      <c r="B20" s="60" t="s">
        <v>56</v>
      </c>
      <c r="C20" s="99" t="s">
        <v>61</v>
      </c>
      <c r="D20" s="61" t="s">
        <v>11</v>
      </c>
      <c r="E20" s="62">
        <v>1.015</v>
      </c>
      <c r="F20" s="56">
        <f>E20*$F$19</f>
        <v>13.51</v>
      </c>
      <c r="G20" s="146">
        <f aca="true" t="shared" si="7" ref="G20:G26">G12</f>
        <v>44.97</v>
      </c>
      <c r="H20" s="56">
        <f t="shared" si="4"/>
        <v>607.54</v>
      </c>
      <c r="I20" s="57"/>
      <c r="J20" s="56">
        <f t="shared" si="5"/>
        <v>0</v>
      </c>
      <c r="K20" s="57"/>
      <c r="L20" s="56">
        <f t="shared" si="6"/>
        <v>0</v>
      </c>
      <c r="M20" s="58">
        <f t="shared" si="3"/>
        <v>607.54</v>
      </c>
    </row>
    <row r="21" spans="1:13" ht="15">
      <c r="A21" s="59"/>
      <c r="B21" s="60" t="s">
        <v>29</v>
      </c>
      <c r="C21" s="99" t="s">
        <v>43</v>
      </c>
      <c r="D21" s="61" t="s">
        <v>15</v>
      </c>
      <c r="E21" s="62">
        <v>0.32</v>
      </c>
      <c r="F21" s="56">
        <f>E21*$F$19</f>
        <v>4.26</v>
      </c>
      <c r="G21" s="146">
        <f t="shared" si="7"/>
        <v>8.65</v>
      </c>
      <c r="H21" s="56">
        <f t="shared" si="4"/>
        <v>36.85</v>
      </c>
      <c r="I21" s="57"/>
      <c r="J21" s="56">
        <f t="shared" si="5"/>
        <v>0</v>
      </c>
      <c r="K21" s="57"/>
      <c r="L21" s="56">
        <f t="shared" si="6"/>
        <v>0</v>
      </c>
      <c r="M21" s="58">
        <f t="shared" si="3"/>
        <v>36.85</v>
      </c>
    </row>
    <row r="22" spans="1:13" ht="15">
      <c r="A22" s="59"/>
      <c r="B22" s="60" t="s">
        <v>37</v>
      </c>
      <c r="C22" s="60" t="s">
        <v>42</v>
      </c>
      <c r="D22" s="61" t="s">
        <v>11</v>
      </c>
      <c r="E22" s="117">
        <v>0.011</v>
      </c>
      <c r="F22" s="56">
        <f>E22*$F$19</f>
        <v>0.15</v>
      </c>
      <c r="G22" s="146">
        <f t="shared" si="7"/>
        <v>475.61</v>
      </c>
      <c r="H22" s="56">
        <f t="shared" si="4"/>
        <v>71.34</v>
      </c>
      <c r="I22" s="57"/>
      <c r="J22" s="56">
        <f t="shared" si="5"/>
        <v>0</v>
      </c>
      <c r="K22" s="57"/>
      <c r="L22" s="56">
        <f t="shared" si="6"/>
        <v>0</v>
      </c>
      <c r="M22" s="58">
        <f t="shared" si="3"/>
        <v>71.34</v>
      </c>
    </row>
    <row r="23" spans="1:13" ht="15">
      <c r="A23" s="59"/>
      <c r="B23" s="60" t="s">
        <v>30</v>
      </c>
      <c r="C23" s="99" t="s">
        <v>44</v>
      </c>
      <c r="D23" s="61" t="s">
        <v>12</v>
      </c>
      <c r="E23" s="62">
        <v>2.5</v>
      </c>
      <c r="F23" s="56">
        <f>E23*$F$19</f>
        <v>33.28</v>
      </c>
      <c r="G23" s="146">
        <f t="shared" si="7"/>
        <v>1.02</v>
      </c>
      <c r="H23" s="56">
        <f t="shared" si="4"/>
        <v>33.95</v>
      </c>
      <c r="I23" s="57"/>
      <c r="J23" s="56">
        <f t="shared" si="5"/>
        <v>0</v>
      </c>
      <c r="K23" s="57"/>
      <c r="L23" s="56">
        <f t="shared" si="6"/>
        <v>0</v>
      </c>
      <c r="M23" s="58">
        <f t="shared" si="3"/>
        <v>33.95</v>
      </c>
    </row>
    <row r="24" spans="1:13" ht="15">
      <c r="A24" s="59"/>
      <c r="B24" s="60" t="s">
        <v>38</v>
      </c>
      <c r="C24" s="99" t="s">
        <v>47</v>
      </c>
      <c r="D24" s="61" t="s">
        <v>35</v>
      </c>
      <c r="E24" s="62">
        <v>1.03</v>
      </c>
      <c r="F24" s="56">
        <f>E24*((718.92+695.22+1016.17+317.98+37.92+75.21)/1000)</f>
        <v>2.95</v>
      </c>
      <c r="G24" s="146">
        <f t="shared" si="7"/>
        <v>0</v>
      </c>
      <c r="H24" s="56">
        <f t="shared" si="4"/>
        <v>0</v>
      </c>
      <c r="I24" s="146">
        <f>I16</f>
        <v>0</v>
      </c>
      <c r="J24" s="56">
        <f t="shared" si="5"/>
        <v>0</v>
      </c>
      <c r="K24" s="57"/>
      <c r="L24" s="56">
        <f t="shared" si="6"/>
        <v>0</v>
      </c>
      <c r="M24" s="58">
        <f t="shared" si="3"/>
        <v>0</v>
      </c>
    </row>
    <row r="25" spans="1:13" ht="12" customHeight="1">
      <c r="A25" s="59"/>
      <c r="B25" s="60" t="s">
        <v>39</v>
      </c>
      <c r="C25" s="99" t="s">
        <v>45</v>
      </c>
      <c r="D25" s="61" t="s">
        <v>35</v>
      </c>
      <c r="E25" s="62">
        <v>1.03</v>
      </c>
      <c r="F25" s="56">
        <f>E25*((44.28+15.29+14.93+5.69+4.8)/1000)</f>
        <v>0.09</v>
      </c>
      <c r="G25" s="146">
        <f t="shared" si="7"/>
        <v>0</v>
      </c>
      <c r="H25" s="56">
        <f t="shared" si="4"/>
        <v>0</v>
      </c>
      <c r="I25" s="146">
        <f>I17</f>
        <v>0</v>
      </c>
      <c r="J25" s="56">
        <f t="shared" si="5"/>
        <v>0</v>
      </c>
      <c r="K25" s="57"/>
      <c r="L25" s="56">
        <f t="shared" si="6"/>
        <v>0</v>
      </c>
      <c r="M25" s="58">
        <f t="shared" si="3"/>
        <v>0</v>
      </c>
    </row>
    <row r="26" spans="1:13" ht="15">
      <c r="A26" s="100"/>
      <c r="B26" s="60" t="s">
        <v>28</v>
      </c>
      <c r="C26" s="99" t="s">
        <v>46</v>
      </c>
      <c r="D26" s="61"/>
      <c r="E26" s="57">
        <v>0.13</v>
      </c>
      <c r="F26" s="56">
        <f>E26*$F$19</f>
        <v>1.73</v>
      </c>
      <c r="G26" s="146">
        <f t="shared" si="7"/>
        <v>2.04</v>
      </c>
      <c r="H26" s="56">
        <f t="shared" si="4"/>
        <v>3.53</v>
      </c>
      <c r="I26" s="57"/>
      <c r="J26" s="56">
        <f t="shared" si="5"/>
        <v>0</v>
      </c>
      <c r="K26" s="57"/>
      <c r="L26" s="56">
        <f t="shared" si="6"/>
        <v>0</v>
      </c>
      <c r="M26" s="58">
        <f t="shared" si="3"/>
        <v>3.53</v>
      </c>
    </row>
    <row r="27" spans="1:13" s="1" customFormat="1" ht="30">
      <c r="A27" s="55">
        <v>3</v>
      </c>
      <c r="B27" s="93" t="s">
        <v>36</v>
      </c>
      <c r="C27" s="93" t="s">
        <v>64</v>
      </c>
      <c r="D27" s="56" t="s">
        <v>11</v>
      </c>
      <c r="E27" s="56"/>
      <c r="F27" s="56">
        <v>6.6</v>
      </c>
      <c r="G27" s="57"/>
      <c r="H27" s="56">
        <f t="shared" si="0"/>
        <v>0</v>
      </c>
      <c r="I27" s="146">
        <f>'Unit Price Assumptions'!D20</f>
        <v>40.82</v>
      </c>
      <c r="J27" s="56">
        <f t="shared" si="1"/>
        <v>269.41</v>
      </c>
      <c r="K27" s="146">
        <f>K19</f>
        <v>4.08</v>
      </c>
      <c r="L27" s="56">
        <f t="shared" si="2"/>
        <v>26.93</v>
      </c>
      <c r="M27" s="58">
        <f t="shared" si="3"/>
        <v>296.34</v>
      </c>
    </row>
    <row r="28" spans="1:13" ht="15">
      <c r="A28" s="59"/>
      <c r="B28" s="60" t="s">
        <v>56</v>
      </c>
      <c r="C28" s="99" t="s">
        <v>61</v>
      </c>
      <c r="D28" s="61" t="s">
        <v>11</v>
      </c>
      <c r="E28" s="62">
        <v>1.015</v>
      </c>
      <c r="F28" s="56">
        <f>E28*$F$27</f>
        <v>6.7</v>
      </c>
      <c r="G28" s="146">
        <f>G20</f>
        <v>44.97</v>
      </c>
      <c r="H28" s="56">
        <f t="shared" si="0"/>
        <v>301.3</v>
      </c>
      <c r="I28" s="57"/>
      <c r="J28" s="56">
        <f t="shared" si="1"/>
        <v>0</v>
      </c>
      <c r="K28" s="57"/>
      <c r="L28" s="56">
        <f t="shared" si="2"/>
        <v>0</v>
      </c>
      <c r="M28" s="58">
        <f t="shared" si="3"/>
        <v>301.3</v>
      </c>
    </row>
    <row r="29" spans="1:13" ht="15">
      <c r="A29" s="59"/>
      <c r="B29" s="60" t="s">
        <v>29</v>
      </c>
      <c r="C29" s="99" t="s">
        <v>43</v>
      </c>
      <c r="D29" s="61" t="s">
        <v>15</v>
      </c>
      <c r="E29" s="62">
        <v>0.58</v>
      </c>
      <c r="F29" s="56">
        <f>E29*$F$27</f>
        <v>3.83</v>
      </c>
      <c r="G29" s="146">
        <f>G21</f>
        <v>8.65</v>
      </c>
      <c r="H29" s="56">
        <f t="shared" si="0"/>
        <v>33.13</v>
      </c>
      <c r="I29" s="57"/>
      <c r="J29" s="56">
        <f t="shared" si="1"/>
        <v>0</v>
      </c>
      <c r="K29" s="57"/>
      <c r="L29" s="56">
        <f t="shared" si="2"/>
        <v>0</v>
      </c>
      <c r="M29" s="58">
        <f t="shared" si="3"/>
        <v>33.13</v>
      </c>
    </row>
    <row r="30" spans="1:13" ht="15">
      <c r="A30" s="59"/>
      <c r="B30" s="60" t="s">
        <v>34</v>
      </c>
      <c r="C30" s="99" t="s">
        <v>48</v>
      </c>
      <c r="D30" s="61" t="s">
        <v>11</v>
      </c>
      <c r="E30" s="62">
        <v>0.02</v>
      </c>
      <c r="F30" s="56">
        <f>E30*$F$27</f>
        <v>0.13</v>
      </c>
      <c r="G30" s="146">
        <f>'Unit Price Assumptions'!C14</f>
        <v>224.84</v>
      </c>
      <c r="H30" s="56">
        <f t="shared" si="0"/>
        <v>29.23</v>
      </c>
      <c r="I30" s="57"/>
      <c r="J30" s="56">
        <f t="shared" si="1"/>
        <v>0</v>
      </c>
      <c r="K30" s="57"/>
      <c r="L30" s="56">
        <f t="shared" si="2"/>
        <v>0</v>
      </c>
      <c r="M30" s="58">
        <f t="shared" si="3"/>
        <v>29.23</v>
      </c>
    </row>
    <row r="31" spans="1:13" ht="15">
      <c r="A31" s="59"/>
      <c r="B31" s="60" t="s">
        <v>30</v>
      </c>
      <c r="C31" s="99" t="s">
        <v>44</v>
      </c>
      <c r="D31" s="61" t="s">
        <v>12</v>
      </c>
      <c r="E31" s="62">
        <v>2.5</v>
      </c>
      <c r="F31" s="56">
        <f>E31*$F$27</f>
        <v>16.5</v>
      </c>
      <c r="G31" s="146">
        <f>G23</f>
        <v>1.02</v>
      </c>
      <c r="H31" s="56">
        <f t="shared" si="0"/>
        <v>16.83</v>
      </c>
      <c r="I31" s="57"/>
      <c r="J31" s="56">
        <f t="shared" si="1"/>
        <v>0</v>
      </c>
      <c r="K31" s="57"/>
      <c r="L31" s="56">
        <f t="shared" si="2"/>
        <v>0</v>
      </c>
      <c r="M31" s="58">
        <f t="shared" si="3"/>
        <v>16.83</v>
      </c>
    </row>
    <row r="32" spans="1:13" ht="15">
      <c r="A32" s="59"/>
      <c r="B32" s="60" t="s">
        <v>38</v>
      </c>
      <c r="C32" s="99" t="s">
        <v>47</v>
      </c>
      <c r="D32" s="61" t="s">
        <v>35</v>
      </c>
      <c r="E32" s="62">
        <v>1.03</v>
      </c>
      <c r="F32" s="56">
        <f>0.02*E32</f>
        <v>0.02</v>
      </c>
      <c r="G32" s="146">
        <f>G24</f>
        <v>0</v>
      </c>
      <c r="H32" s="56">
        <f t="shared" si="0"/>
        <v>0</v>
      </c>
      <c r="I32" s="146">
        <f>I24</f>
        <v>0</v>
      </c>
      <c r="J32" s="56">
        <f t="shared" si="1"/>
        <v>0</v>
      </c>
      <c r="K32" s="57"/>
      <c r="L32" s="56">
        <f t="shared" si="2"/>
        <v>0</v>
      </c>
      <c r="M32" s="58">
        <f t="shared" si="3"/>
        <v>0</v>
      </c>
    </row>
    <row r="33" spans="1:13" ht="12" customHeight="1">
      <c r="A33" s="59"/>
      <c r="B33" s="60" t="s">
        <v>39</v>
      </c>
      <c r="C33" s="99" t="s">
        <v>45</v>
      </c>
      <c r="D33" s="61" t="s">
        <v>35</v>
      </c>
      <c r="E33" s="62">
        <v>1.03</v>
      </c>
      <c r="F33" s="56">
        <f>0.56*E33</f>
        <v>0.58</v>
      </c>
      <c r="G33" s="146">
        <f>G25</f>
        <v>0</v>
      </c>
      <c r="H33" s="56">
        <f t="shared" si="0"/>
        <v>0</v>
      </c>
      <c r="I33" s="146">
        <f>I25</f>
        <v>0</v>
      </c>
      <c r="J33" s="56">
        <f t="shared" si="1"/>
        <v>0</v>
      </c>
      <c r="K33" s="57"/>
      <c r="L33" s="56">
        <f t="shared" si="2"/>
        <v>0</v>
      </c>
      <c r="M33" s="58">
        <f t="shared" si="3"/>
        <v>0</v>
      </c>
    </row>
    <row r="34" spans="1:13" ht="15.75" thickBot="1">
      <c r="A34" s="100"/>
      <c r="B34" s="60" t="s">
        <v>28</v>
      </c>
      <c r="C34" s="99" t="s">
        <v>46</v>
      </c>
      <c r="D34" s="61"/>
      <c r="E34" s="57">
        <v>0.39</v>
      </c>
      <c r="F34" s="56">
        <f>E34*$F$27</f>
        <v>2.57</v>
      </c>
      <c r="G34" s="146">
        <f>G26</f>
        <v>2.04</v>
      </c>
      <c r="H34" s="56">
        <f t="shared" si="0"/>
        <v>5.24</v>
      </c>
      <c r="I34" s="57"/>
      <c r="J34" s="56">
        <f t="shared" si="1"/>
        <v>0</v>
      </c>
      <c r="K34" s="57"/>
      <c r="L34" s="56">
        <f t="shared" si="2"/>
        <v>0</v>
      </c>
      <c r="M34" s="58">
        <f t="shared" si="3"/>
        <v>5.24</v>
      </c>
    </row>
    <row r="35" spans="2:13" ht="15.75" thickBot="1">
      <c r="B35" s="42"/>
      <c r="C35" s="42"/>
      <c r="D35" s="63"/>
      <c r="E35" s="42"/>
      <c r="F35" s="101"/>
      <c r="G35" s="40"/>
      <c r="H35" s="66">
        <f>SUM(H11:H34)</f>
        <v>2614.88</v>
      </c>
      <c r="I35" s="67"/>
      <c r="J35" s="68">
        <f>SUM(J11:J34)</f>
        <v>1813.63</v>
      </c>
      <c r="K35" s="67"/>
      <c r="L35" s="68">
        <f>SUM(L11:L34)</f>
        <v>181.27</v>
      </c>
      <c r="M35" s="102">
        <f>SUM(M11:M34)</f>
        <v>4609.78</v>
      </c>
    </row>
    <row r="36" spans="1:14" s="2" customFormat="1" ht="15" customHeight="1">
      <c r="A36" s="39"/>
      <c r="B36" s="39"/>
      <c r="C36" s="39"/>
      <c r="D36" s="39"/>
      <c r="E36" s="39"/>
      <c r="F36" s="70"/>
      <c r="G36" s="71"/>
      <c r="H36" s="223" t="s">
        <v>26</v>
      </c>
      <c r="I36" s="224"/>
      <c r="J36" s="72"/>
      <c r="K36" s="82">
        <f>'-10.430'!$K$20</f>
        <v>0.08</v>
      </c>
      <c r="L36" s="72"/>
      <c r="M36" s="74">
        <f>M35*K36</f>
        <v>368.78</v>
      </c>
      <c r="N36" s="5"/>
    </row>
    <row r="37" spans="1:14" s="2" customFormat="1" ht="15" customHeight="1" thickBot="1">
      <c r="A37" s="39"/>
      <c r="B37" s="39"/>
      <c r="C37" s="39"/>
      <c r="D37" s="75"/>
      <c r="E37" s="76"/>
      <c r="F37" s="70"/>
      <c r="G37" s="70"/>
      <c r="H37" s="225" t="s">
        <v>27</v>
      </c>
      <c r="I37" s="226"/>
      <c r="J37" s="77"/>
      <c r="K37" s="78" t="str">
        <f>K39</f>
        <v>USD</v>
      </c>
      <c r="L37" s="77"/>
      <c r="M37" s="79">
        <f>M35+M36</f>
        <v>4978.56</v>
      </c>
      <c r="N37" s="5"/>
    </row>
    <row r="38" spans="1:14" s="2" customFormat="1" ht="15">
      <c r="A38" s="39"/>
      <c r="B38" s="39"/>
      <c r="C38" s="39"/>
      <c r="D38" s="75"/>
      <c r="E38" s="76"/>
      <c r="F38" s="70"/>
      <c r="G38" s="71"/>
      <c r="H38" s="223" t="s">
        <v>66</v>
      </c>
      <c r="I38" s="224"/>
      <c r="J38" s="72"/>
      <c r="K38" s="82">
        <f>'-10.430'!$K$22</f>
        <v>0.08</v>
      </c>
      <c r="L38" s="72"/>
      <c r="M38" s="74">
        <f>M37*K38</f>
        <v>398.28</v>
      </c>
      <c r="N38" s="5"/>
    </row>
    <row r="39" spans="1:14" s="2" customFormat="1" ht="15.75" thickBot="1">
      <c r="A39" s="39"/>
      <c r="B39" s="39"/>
      <c r="C39" s="39"/>
      <c r="D39" s="75"/>
      <c r="E39" s="76"/>
      <c r="F39" s="80"/>
      <c r="G39" s="71"/>
      <c r="H39" s="225" t="s">
        <v>27</v>
      </c>
      <c r="I39" s="226"/>
      <c r="J39" s="77"/>
      <c r="K39" s="81" t="s">
        <v>19</v>
      </c>
      <c r="L39" s="77"/>
      <c r="M39" s="79">
        <f>M37+M38</f>
        <v>5376.84</v>
      </c>
      <c r="N39" s="5"/>
    </row>
    <row r="40" spans="1:14" s="2" customFormat="1" ht="15">
      <c r="A40" s="39"/>
      <c r="B40" s="39"/>
      <c r="C40" s="39"/>
      <c r="D40" s="39"/>
      <c r="E40" s="39"/>
      <c r="F40" s="39"/>
      <c r="G40" s="71"/>
      <c r="H40" s="219" t="s">
        <v>33</v>
      </c>
      <c r="I40" s="220"/>
      <c r="J40" s="72"/>
      <c r="K40" s="82">
        <v>0.18</v>
      </c>
      <c r="L40" s="72"/>
      <c r="M40" s="74">
        <f>M39*K40</f>
        <v>967.83</v>
      </c>
      <c r="N40" s="5"/>
    </row>
    <row r="41" spans="1:14" s="2" customFormat="1" ht="15.75" thickBot="1">
      <c r="A41" s="39"/>
      <c r="B41" s="39"/>
      <c r="C41" s="39"/>
      <c r="D41" s="39"/>
      <c r="E41" s="39"/>
      <c r="F41" s="39"/>
      <c r="G41" s="71"/>
      <c r="H41" s="221" t="s">
        <v>25</v>
      </c>
      <c r="I41" s="222"/>
      <c r="J41" s="77"/>
      <c r="K41" s="83" t="s">
        <v>19</v>
      </c>
      <c r="L41" s="77"/>
      <c r="M41" s="79">
        <f>M39+M40</f>
        <v>6344.67</v>
      </c>
      <c r="N41" s="5"/>
    </row>
  </sheetData>
  <mergeCells count="21">
    <mergeCell ref="A7:G7"/>
    <mergeCell ref="K2:M2"/>
    <mergeCell ref="D3:I3"/>
    <mergeCell ref="D4:I4"/>
    <mergeCell ref="I8:J8"/>
    <mergeCell ref="K8:L8"/>
    <mergeCell ref="M8:M9"/>
    <mergeCell ref="D5:I5"/>
    <mergeCell ref="C8:C9"/>
    <mergeCell ref="H41:I41"/>
    <mergeCell ref="A8:A9"/>
    <mergeCell ref="B8:B9"/>
    <mergeCell ref="D8:D9"/>
    <mergeCell ref="E8:F8"/>
    <mergeCell ref="G8:H8"/>
    <mergeCell ref="B10:C10"/>
    <mergeCell ref="H36:I36"/>
    <mergeCell ref="H37:I37"/>
    <mergeCell ref="H38:I38"/>
    <mergeCell ref="H39:I39"/>
    <mergeCell ref="H40:I40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 topLeftCell="A16">
      <selection activeCell="F13" sqref="F13"/>
    </sheetView>
  </sheetViews>
  <sheetFormatPr defaultColWidth="8.8515625" defaultRowHeight="15"/>
  <cols>
    <col min="1" max="1" width="3.421875" style="44" bestFit="1" customWidth="1"/>
    <col min="2" max="2" width="35.7109375" style="46" customWidth="1"/>
    <col min="3" max="3" width="38.7109375" style="46" customWidth="1"/>
    <col min="4" max="4" width="7.28125" style="44" customWidth="1"/>
    <col min="5" max="5" width="11.5742187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8.7109375" style="44" customWidth="1"/>
    <col min="10" max="10" width="13.140625" style="44" bestFit="1" customWidth="1"/>
    <col min="11" max="11" width="12.421875" style="44" bestFit="1" customWidth="1"/>
    <col min="12" max="12" width="17.7109375" style="44" customWidth="1"/>
    <col min="13" max="13" width="14.57421875" style="114" bestFit="1" customWidth="1"/>
    <col min="14" max="16384" width="8.8515625" style="4" customWidth="1"/>
  </cols>
  <sheetData>
    <row r="1" spans="1:13" ht="15">
      <c r="A1" s="42"/>
      <c r="B1" s="42"/>
      <c r="C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.75" customHeight="1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227" t="s">
        <v>18</v>
      </c>
      <c r="L2" s="228"/>
      <c r="M2" s="229"/>
    </row>
    <row r="3" spans="1:13" ht="15" customHeight="1">
      <c r="A3" s="63"/>
      <c r="B3" s="42"/>
      <c r="C3" s="42"/>
      <c r="J3" s="42"/>
      <c r="K3" s="89" t="s">
        <v>19</v>
      </c>
      <c r="L3" s="89" t="s">
        <v>40</v>
      </c>
      <c r="M3" s="57" t="str">
        <f ca="1">'-10.430'!M4</f>
        <v>US $  Rate</v>
      </c>
    </row>
    <row r="4" spans="1:13" ht="16.5" customHeight="1">
      <c r="A4" s="42"/>
      <c r="B4" s="42"/>
      <c r="C4" s="42"/>
      <c r="D4" s="241"/>
      <c r="E4" s="241"/>
      <c r="F4" s="241"/>
      <c r="G4" s="241"/>
      <c r="H4" s="241"/>
      <c r="I4" s="241"/>
      <c r="J4" s="42"/>
      <c r="K4" s="26">
        <f>M49</f>
        <v>41093.29</v>
      </c>
      <c r="L4" s="121">
        <f>K4*M4</f>
        <v>100678.56</v>
      </c>
      <c r="M4" s="91">
        <f>'Unit Price Assumptions'!D4</f>
        <v>2.45</v>
      </c>
    </row>
    <row r="5" spans="1:13" ht="21">
      <c r="A5" s="42"/>
      <c r="B5" s="110" t="s">
        <v>82</v>
      </c>
      <c r="C5" s="42"/>
      <c r="D5" s="241"/>
      <c r="E5" s="241"/>
      <c r="F5" s="241"/>
      <c r="G5" s="241"/>
      <c r="H5" s="241"/>
      <c r="I5" s="241"/>
      <c r="J5" s="42"/>
      <c r="K5" s="43"/>
      <c r="L5" s="43"/>
      <c r="M5" s="30"/>
    </row>
    <row r="6" spans="1:13" ht="15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spans="1:17" ht="14.25" customHeight="1" thickBot="1">
      <c r="A7" s="241"/>
      <c r="B7" s="241"/>
      <c r="C7" s="241"/>
      <c r="D7" s="241"/>
      <c r="E7" s="241"/>
      <c r="F7" s="241"/>
      <c r="G7" s="241"/>
      <c r="H7" s="40"/>
      <c r="I7" s="40"/>
      <c r="J7" s="40"/>
      <c r="K7" s="40"/>
      <c r="L7" s="43"/>
      <c r="M7" s="30"/>
      <c r="Q7" s="56">
        <f>(3397.1+76.55+16.95+145.95+72.05)/1000</f>
        <v>3.71</v>
      </c>
    </row>
    <row r="8" spans="1:17" ht="27" customHeight="1">
      <c r="A8" s="231" t="s">
        <v>96</v>
      </c>
      <c r="B8" s="233" t="s">
        <v>20</v>
      </c>
      <c r="C8" s="235" t="s">
        <v>41</v>
      </c>
      <c r="D8" s="237" t="s">
        <v>31</v>
      </c>
      <c r="E8" s="217" t="s">
        <v>21</v>
      </c>
      <c r="F8" s="218"/>
      <c r="G8" s="217" t="s">
        <v>22</v>
      </c>
      <c r="H8" s="218"/>
      <c r="I8" s="217" t="s">
        <v>23</v>
      </c>
      <c r="J8" s="218"/>
      <c r="K8" s="217" t="s">
        <v>24</v>
      </c>
      <c r="L8" s="218"/>
      <c r="M8" s="242" t="s">
        <v>18</v>
      </c>
      <c r="Q8" s="56">
        <f>(7406+869+463+370.32+331.8)/1000</f>
        <v>9.44</v>
      </c>
    </row>
    <row r="9" spans="1:17" ht="45">
      <c r="A9" s="232"/>
      <c r="B9" s="234"/>
      <c r="C9" s="236"/>
      <c r="D9" s="238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32</v>
      </c>
      <c r="L9" s="48" t="s">
        <v>18</v>
      </c>
      <c r="M9" s="243"/>
      <c r="Q9" s="56">
        <v>52.44</v>
      </c>
    </row>
    <row r="10" spans="1:14" ht="15">
      <c r="A10" s="49" t="s">
        <v>1</v>
      </c>
      <c r="B10" s="215" t="s">
        <v>13</v>
      </c>
      <c r="C10" s="216"/>
      <c r="D10" s="52" t="s">
        <v>2</v>
      </c>
      <c r="E10" s="51" t="s">
        <v>3</v>
      </c>
      <c r="F10" s="52" t="s">
        <v>14</v>
      </c>
      <c r="G10" s="51" t="s">
        <v>4</v>
      </c>
      <c r="H10" s="52" t="s">
        <v>5</v>
      </c>
      <c r="I10" s="51" t="s">
        <v>6</v>
      </c>
      <c r="J10" s="52" t="s">
        <v>7</v>
      </c>
      <c r="K10" s="51" t="s">
        <v>8</v>
      </c>
      <c r="L10" s="52" t="s">
        <v>9</v>
      </c>
      <c r="M10" s="118" t="s">
        <v>10</v>
      </c>
      <c r="N10" s="7"/>
    </row>
    <row r="11" spans="1:16" s="1" customFormat="1" ht="30">
      <c r="A11" s="59">
        <v>1</v>
      </c>
      <c r="B11" s="119" t="s">
        <v>59</v>
      </c>
      <c r="C11" s="119" t="s">
        <v>60</v>
      </c>
      <c r="D11" s="56" t="s">
        <v>11</v>
      </c>
      <c r="E11" s="56"/>
      <c r="F11" s="120">
        <f>52.44+194</f>
        <v>246.44</v>
      </c>
      <c r="G11" s="57"/>
      <c r="H11" s="56">
        <f aca="true" t="shared" si="0" ref="H11:H42">F11*G11</f>
        <v>0</v>
      </c>
      <c r="I11" s="146">
        <f>'Unit Price Assumptions'!D19</f>
        <v>40.82</v>
      </c>
      <c r="J11" s="56">
        <f>F11*I11</f>
        <v>10059.68</v>
      </c>
      <c r="K11" s="146">
        <f>'Unit Price Assumptions'!D21</f>
        <v>4.08</v>
      </c>
      <c r="L11" s="56">
        <f>F11*K11</f>
        <v>1005.48</v>
      </c>
      <c r="M11" s="58">
        <f>H11+J11+L11</f>
        <v>11065.16</v>
      </c>
      <c r="O11" s="8"/>
      <c r="P11" s="9"/>
    </row>
    <row r="12" spans="1:16" ht="15">
      <c r="A12" s="59"/>
      <c r="B12" s="60" t="s">
        <v>56</v>
      </c>
      <c r="C12" s="60" t="s">
        <v>61</v>
      </c>
      <c r="D12" s="61" t="s">
        <v>11</v>
      </c>
      <c r="E12" s="62">
        <v>1.015</v>
      </c>
      <c r="F12" s="56">
        <f>$F$11*E12</f>
        <v>250.14</v>
      </c>
      <c r="G12" s="146">
        <f>'Unit Price Assumptions'!C8</f>
        <v>44.97</v>
      </c>
      <c r="H12" s="56">
        <f t="shared" si="0"/>
        <v>11248.8</v>
      </c>
      <c r="I12" s="57"/>
      <c r="J12" s="56">
        <f aca="true" t="shared" si="1" ref="J12:J42">F12*I12</f>
        <v>0</v>
      </c>
      <c r="K12" s="57"/>
      <c r="L12" s="56">
        <f aca="true" t="shared" si="2" ref="L12:L42">F12*K12</f>
        <v>0</v>
      </c>
      <c r="M12" s="58">
        <f aca="true" t="shared" si="3" ref="M12:M42">H12+J12+L12</f>
        <v>11248.8</v>
      </c>
      <c r="O12" s="8"/>
      <c r="P12" s="6"/>
    </row>
    <row r="13" spans="1:16" ht="15">
      <c r="A13" s="59"/>
      <c r="B13" s="60" t="s">
        <v>29</v>
      </c>
      <c r="C13" s="60" t="s">
        <v>43</v>
      </c>
      <c r="D13" s="61" t="s">
        <v>15</v>
      </c>
      <c r="E13" s="62">
        <v>0.3</v>
      </c>
      <c r="F13" s="56">
        <f>$F$11*E13</f>
        <v>73.93</v>
      </c>
      <c r="G13" s="146">
        <f>'Unit Price Assumptions'!C12</f>
        <v>8.65</v>
      </c>
      <c r="H13" s="56">
        <f t="shared" si="0"/>
        <v>639.49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639.49</v>
      </c>
      <c r="O13" s="8"/>
      <c r="P13" s="6"/>
    </row>
    <row r="14" spans="1:16" ht="15">
      <c r="A14" s="59"/>
      <c r="B14" s="60" t="s">
        <v>37</v>
      </c>
      <c r="C14" s="60" t="s">
        <v>42</v>
      </c>
      <c r="D14" s="61" t="s">
        <v>11</v>
      </c>
      <c r="E14" s="62">
        <v>0.011</v>
      </c>
      <c r="F14" s="56">
        <f>$F$11*E14</f>
        <v>2.71</v>
      </c>
      <c r="G14" s="146">
        <f>'Unit Price Assumptions'!C13</f>
        <v>475.61</v>
      </c>
      <c r="H14" s="56">
        <f t="shared" si="0"/>
        <v>1288.9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1288.9</v>
      </c>
      <c r="P14" s="6"/>
    </row>
    <row r="15" spans="1:16" ht="15">
      <c r="A15" s="59"/>
      <c r="B15" s="60" t="s">
        <v>30</v>
      </c>
      <c r="C15" s="60" t="s">
        <v>44</v>
      </c>
      <c r="D15" s="61" t="s">
        <v>12</v>
      </c>
      <c r="E15" s="62">
        <v>2.5</v>
      </c>
      <c r="F15" s="56">
        <f>$F$11*E15</f>
        <v>616.1</v>
      </c>
      <c r="G15" s="146">
        <f>'Unit Price Assumptions'!C15</f>
        <v>1.02</v>
      </c>
      <c r="H15" s="56">
        <f t="shared" si="0"/>
        <v>628.42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628.42</v>
      </c>
      <c r="P15" s="6"/>
    </row>
    <row r="16" spans="1:16" ht="15">
      <c r="A16" s="59"/>
      <c r="B16" s="60" t="s">
        <v>38</v>
      </c>
      <c r="C16" s="60" t="s">
        <v>47</v>
      </c>
      <c r="D16" s="61" t="s">
        <v>35</v>
      </c>
      <c r="E16" s="62">
        <v>1.03</v>
      </c>
      <c r="F16" s="56">
        <f>((22.04+299.81+272.08+3397.1+76.55+16.95+145.95+72.05)/1000)*E16</f>
        <v>4.43</v>
      </c>
      <c r="G16" s="146">
        <f>'Unit Price Assumptions'!C10</f>
        <v>0</v>
      </c>
      <c r="H16" s="56">
        <f t="shared" si="0"/>
        <v>0</v>
      </c>
      <c r="I16" s="146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  <c r="P16" s="6"/>
    </row>
    <row r="17" spans="1:13" ht="15">
      <c r="A17" s="59"/>
      <c r="B17" s="60" t="s">
        <v>39</v>
      </c>
      <c r="C17" s="60" t="s">
        <v>45</v>
      </c>
      <c r="D17" s="61" t="s">
        <v>35</v>
      </c>
      <c r="E17" s="62">
        <v>1.03</v>
      </c>
      <c r="F17" s="56">
        <f>((6036.28+8710.01+1209.72+1036.91+160.47+43.2+162.94+158+7406+869+463+370.32+331.8)/1000)*E17</f>
        <v>27.77</v>
      </c>
      <c r="G17" s="146">
        <f>'Unit Price Assumptions'!C11</f>
        <v>0</v>
      </c>
      <c r="H17" s="56">
        <f t="shared" si="0"/>
        <v>0</v>
      </c>
      <c r="I17" s="146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">
      <c r="A18" s="59"/>
      <c r="B18" s="60" t="s">
        <v>28</v>
      </c>
      <c r="C18" s="60" t="s">
        <v>46</v>
      </c>
      <c r="D18" s="61"/>
      <c r="E18" s="57">
        <v>0.16</v>
      </c>
      <c r="F18" s="56">
        <f>$F$11*E18</f>
        <v>39.43</v>
      </c>
      <c r="G18" s="146">
        <f>'Unit Price Assumptions'!C16</f>
        <v>2.04</v>
      </c>
      <c r="H18" s="56">
        <f t="shared" si="0"/>
        <v>80.44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80.44</v>
      </c>
    </row>
    <row r="19" spans="1:13" s="1" customFormat="1" ht="30">
      <c r="A19" s="59">
        <v>2</v>
      </c>
      <c r="B19" s="119" t="s">
        <v>62</v>
      </c>
      <c r="C19" s="119" t="s">
        <v>63</v>
      </c>
      <c r="D19" s="56" t="s">
        <v>11</v>
      </c>
      <c r="E19" s="56"/>
      <c r="F19" s="120">
        <f>0.85+11.96+7.69+2.44+0.49+1.1</f>
        <v>24.53</v>
      </c>
      <c r="G19" s="57"/>
      <c r="H19" s="56">
        <f t="shared" si="0"/>
        <v>0</v>
      </c>
      <c r="I19" s="146">
        <f>'Unit Price Assumptions'!D17</f>
        <v>40.82</v>
      </c>
      <c r="J19" s="56">
        <f t="shared" si="1"/>
        <v>1001.31</v>
      </c>
      <c r="K19" s="146">
        <f>K11</f>
        <v>4.08</v>
      </c>
      <c r="L19" s="56">
        <f t="shared" si="2"/>
        <v>100.08</v>
      </c>
      <c r="M19" s="58">
        <f t="shared" si="3"/>
        <v>1101.39</v>
      </c>
    </row>
    <row r="20" spans="1:13" ht="15">
      <c r="A20" s="59"/>
      <c r="B20" s="60" t="s">
        <v>56</v>
      </c>
      <c r="C20" s="99" t="s">
        <v>61</v>
      </c>
      <c r="D20" s="61" t="s">
        <v>11</v>
      </c>
      <c r="E20" s="62">
        <v>1.015</v>
      </c>
      <c r="F20" s="56">
        <f>$F$19*E20</f>
        <v>24.9</v>
      </c>
      <c r="G20" s="146">
        <f aca="true" t="shared" si="4" ref="G20:G26">G12</f>
        <v>44.97</v>
      </c>
      <c r="H20" s="56">
        <f t="shared" si="0"/>
        <v>1119.75</v>
      </c>
      <c r="I20" s="57"/>
      <c r="J20" s="56">
        <f t="shared" si="1"/>
        <v>0</v>
      </c>
      <c r="K20" s="57"/>
      <c r="L20" s="56">
        <f t="shared" si="2"/>
        <v>0</v>
      </c>
      <c r="M20" s="58">
        <f t="shared" si="3"/>
        <v>1119.75</v>
      </c>
    </row>
    <row r="21" spans="1:13" ht="15">
      <c r="A21" s="59"/>
      <c r="B21" s="60" t="s">
        <v>29</v>
      </c>
      <c r="C21" s="99" t="s">
        <v>43</v>
      </c>
      <c r="D21" s="61" t="s">
        <v>15</v>
      </c>
      <c r="E21" s="62">
        <v>0.61</v>
      </c>
      <c r="F21" s="56">
        <f>$F$19*E21</f>
        <v>14.96</v>
      </c>
      <c r="G21" s="146">
        <f t="shared" si="4"/>
        <v>8.65</v>
      </c>
      <c r="H21" s="56">
        <f t="shared" si="0"/>
        <v>129.4</v>
      </c>
      <c r="I21" s="57"/>
      <c r="J21" s="56">
        <f t="shared" si="1"/>
        <v>0</v>
      </c>
      <c r="K21" s="57"/>
      <c r="L21" s="56">
        <f t="shared" si="2"/>
        <v>0</v>
      </c>
      <c r="M21" s="58">
        <f t="shared" si="3"/>
        <v>129.4</v>
      </c>
    </row>
    <row r="22" spans="1:13" ht="15">
      <c r="A22" s="59"/>
      <c r="B22" s="60" t="s">
        <v>37</v>
      </c>
      <c r="C22" s="60" t="s">
        <v>42</v>
      </c>
      <c r="D22" s="61" t="s">
        <v>11</v>
      </c>
      <c r="E22" s="62">
        <v>0.013</v>
      </c>
      <c r="F22" s="56">
        <f>$F$19*E22</f>
        <v>0.32</v>
      </c>
      <c r="G22" s="146">
        <f t="shared" si="4"/>
        <v>475.61</v>
      </c>
      <c r="H22" s="56">
        <f t="shared" si="0"/>
        <v>152.2</v>
      </c>
      <c r="I22" s="57"/>
      <c r="J22" s="56">
        <f t="shared" si="1"/>
        <v>0</v>
      </c>
      <c r="K22" s="57"/>
      <c r="L22" s="56">
        <f t="shared" si="2"/>
        <v>0</v>
      </c>
      <c r="M22" s="58">
        <f t="shared" si="3"/>
        <v>152.2</v>
      </c>
    </row>
    <row r="23" spans="1:13" ht="15">
      <c r="A23" s="59"/>
      <c r="B23" s="60" t="s">
        <v>30</v>
      </c>
      <c r="C23" s="99" t="s">
        <v>44</v>
      </c>
      <c r="D23" s="61" t="s">
        <v>12</v>
      </c>
      <c r="E23" s="62">
        <v>2.5</v>
      </c>
      <c r="F23" s="56">
        <f>$F$19*E23</f>
        <v>61.33</v>
      </c>
      <c r="G23" s="146">
        <f t="shared" si="4"/>
        <v>1.02</v>
      </c>
      <c r="H23" s="56">
        <f t="shared" si="0"/>
        <v>62.56</v>
      </c>
      <c r="I23" s="57"/>
      <c r="J23" s="56">
        <f t="shared" si="1"/>
        <v>0</v>
      </c>
      <c r="K23" s="57"/>
      <c r="L23" s="56">
        <f t="shared" si="2"/>
        <v>0</v>
      </c>
      <c r="M23" s="58">
        <f t="shared" si="3"/>
        <v>62.56</v>
      </c>
    </row>
    <row r="24" spans="1:13" ht="15">
      <c r="A24" s="59"/>
      <c r="B24" s="60" t="s">
        <v>38</v>
      </c>
      <c r="C24" s="99" t="s">
        <v>47</v>
      </c>
      <c r="D24" s="61" t="s">
        <v>35</v>
      </c>
      <c r="E24" s="62">
        <v>1.03</v>
      </c>
      <c r="F24" s="56">
        <f>((24.97+12.49+349.62+174.81+201.5+100.75+86.27+17.25+45.82)/1000)*E24</f>
        <v>1.04</v>
      </c>
      <c r="G24" s="146">
        <f t="shared" si="4"/>
        <v>0</v>
      </c>
      <c r="H24" s="56">
        <f t="shared" si="0"/>
        <v>0</v>
      </c>
      <c r="I24" s="146">
        <f>I16</f>
        <v>0</v>
      </c>
      <c r="J24" s="56">
        <f t="shared" si="1"/>
        <v>0</v>
      </c>
      <c r="K24" s="57"/>
      <c r="L24" s="56">
        <f t="shared" si="2"/>
        <v>0</v>
      </c>
      <c r="M24" s="58">
        <f t="shared" si="3"/>
        <v>0</v>
      </c>
    </row>
    <row r="25" spans="1:13" ht="15">
      <c r="A25" s="59"/>
      <c r="B25" s="60" t="s">
        <v>39</v>
      </c>
      <c r="C25" s="99" t="s">
        <v>45</v>
      </c>
      <c r="D25" s="61" t="s">
        <v>35</v>
      </c>
      <c r="E25" s="62">
        <v>1.03</v>
      </c>
      <c r="F25" s="56">
        <f>(102.58+48.39+74.84+1101.71+523.85+635.97+426.61+613.26+237.01+227.13+47.4+90.85+181.71)/1000*E25</f>
        <v>4.44</v>
      </c>
      <c r="G25" s="146">
        <f t="shared" si="4"/>
        <v>0</v>
      </c>
      <c r="H25" s="56">
        <f t="shared" si="0"/>
        <v>0</v>
      </c>
      <c r="I25" s="146">
        <f>I17</f>
        <v>0</v>
      </c>
      <c r="J25" s="56">
        <f t="shared" si="1"/>
        <v>0</v>
      </c>
      <c r="K25" s="57"/>
      <c r="L25" s="56">
        <f t="shared" si="2"/>
        <v>0</v>
      </c>
      <c r="M25" s="58">
        <f t="shared" si="3"/>
        <v>0</v>
      </c>
    </row>
    <row r="26" spans="1:13" ht="15">
      <c r="A26" s="100"/>
      <c r="B26" s="60" t="s">
        <v>28</v>
      </c>
      <c r="C26" s="99" t="s">
        <v>46</v>
      </c>
      <c r="D26" s="61"/>
      <c r="E26" s="57">
        <v>0.25</v>
      </c>
      <c r="F26" s="56">
        <f>$F$19*E26</f>
        <v>6.13</v>
      </c>
      <c r="G26" s="146">
        <f t="shared" si="4"/>
        <v>2.04</v>
      </c>
      <c r="H26" s="56">
        <f t="shared" si="0"/>
        <v>12.51</v>
      </c>
      <c r="I26" s="57"/>
      <c r="J26" s="56">
        <f t="shared" si="1"/>
        <v>0</v>
      </c>
      <c r="K26" s="57"/>
      <c r="L26" s="56">
        <f t="shared" si="2"/>
        <v>0</v>
      </c>
      <c r="M26" s="58">
        <f t="shared" si="3"/>
        <v>12.51</v>
      </c>
    </row>
    <row r="27" spans="1:13" s="1" customFormat="1" ht="30">
      <c r="A27" s="59">
        <v>3</v>
      </c>
      <c r="B27" s="119" t="s">
        <v>70</v>
      </c>
      <c r="C27" s="119" t="s">
        <v>65</v>
      </c>
      <c r="D27" s="56" t="s">
        <v>11</v>
      </c>
      <c r="E27" s="56"/>
      <c r="F27" s="120">
        <v>16.23</v>
      </c>
      <c r="G27" s="57"/>
      <c r="H27" s="56">
        <f t="shared" si="0"/>
        <v>0</v>
      </c>
      <c r="I27" s="146">
        <f>'Unit Price Assumptions'!D18</f>
        <v>40.82</v>
      </c>
      <c r="J27" s="56">
        <f aca="true" t="shared" si="5" ref="J27:J34">F27*I27</f>
        <v>662.51</v>
      </c>
      <c r="K27" s="146">
        <f>K19</f>
        <v>4.08</v>
      </c>
      <c r="L27" s="56">
        <f aca="true" t="shared" si="6" ref="L27:L34">F27*K27</f>
        <v>66.22</v>
      </c>
      <c r="M27" s="58">
        <f aca="true" t="shared" si="7" ref="M27:M34">H27+J27+L27</f>
        <v>728.73</v>
      </c>
    </row>
    <row r="28" spans="1:13" ht="15">
      <c r="A28" s="59"/>
      <c r="B28" s="60" t="s">
        <v>56</v>
      </c>
      <c r="C28" s="99" t="s">
        <v>61</v>
      </c>
      <c r="D28" s="61" t="s">
        <v>11</v>
      </c>
      <c r="E28" s="62">
        <v>1.015</v>
      </c>
      <c r="F28" s="56">
        <f>F27*$E$28</f>
        <v>16.47</v>
      </c>
      <c r="G28" s="146">
        <f aca="true" t="shared" si="8" ref="G28:G34">G20</f>
        <v>44.97</v>
      </c>
      <c r="H28" s="56">
        <f t="shared" si="0"/>
        <v>740.66</v>
      </c>
      <c r="I28" s="57"/>
      <c r="J28" s="56">
        <f t="shared" si="5"/>
        <v>0</v>
      </c>
      <c r="K28" s="57"/>
      <c r="L28" s="56">
        <f t="shared" si="6"/>
        <v>0</v>
      </c>
      <c r="M28" s="58">
        <f t="shared" si="7"/>
        <v>740.66</v>
      </c>
    </row>
    <row r="29" spans="1:13" ht="15">
      <c r="A29" s="59"/>
      <c r="B29" s="60" t="s">
        <v>29</v>
      </c>
      <c r="C29" s="99" t="s">
        <v>43</v>
      </c>
      <c r="D29" s="61" t="s">
        <v>15</v>
      </c>
      <c r="E29" s="62">
        <v>0.32</v>
      </c>
      <c r="F29" s="56">
        <f>F27*E29</f>
        <v>5.19</v>
      </c>
      <c r="G29" s="146">
        <f t="shared" si="8"/>
        <v>8.65</v>
      </c>
      <c r="H29" s="56">
        <f t="shared" si="0"/>
        <v>44.89</v>
      </c>
      <c r="I29" s="57"/>
      <c r="J29" s="56">
        <f t="shared" si="5"/>
        <v>0</v>
      </c>
      <c r="K29" s="57"/>
      <c r="L29" s="56">
        <f t="shared" si="6"/>
        <v>0</v>
      </c>
      <c r="M29" s="58">
        <f t="shared" si="7"/>
        <v>44.89</v>
      </c>
    </row>
    <row r="30" spans="1:13" ht="15">
      <c r="A30" s="59"/>
      <c r="B30" s="60" t="s">
        <v>37</v>
      </c>
      <c r="C30" s="60" t="s">
        <v>42</v>
      </c>
      <c r="D30" s="61" t="s">
        <v>11</v>
      </c>
      <c r="E30" s="117">
        <v>0.011</v>
      </c>
      <c r="F30" s="56">
        <f>F27*E30</f>
        <v>0.18</v>
      </c>
      <c r="G30" s="146">
        <f t="shared" si="8"/>
        <v>475.61</v>
      </c>
      <c r="H30" s="56">
        <f t="shared" si="0"/>
        <v>85.61</v>
      </c>
      <c r="I30" s="57"/>
      <c r="J30" s="56">
        <f t="shared" si="5"/>
        <v>0</v>
      </c>
      <c r="K30" s="57"/>
      <c r="L30" s="56">
        <f t="shared" si="6"/>
        <v>0</v>
      </c>
      <c r="M30" s="58">
        <f t="shared" si="7"/>
        <v>85.61</v>
      </c>
    </row>
    <row r="31" spans="1:13" ht="15">
      <c r="A31" s="59"/>
      <c r="B31" s="60" t="s">
        <v>30</v>
      </c>
      <c r="C31" s="99" t="s">
        <v>44</v>
      </c>
      <c r="D31" s="61" t="s">
        <v>12</v>
      </c>
      <c r="E31" s="62">
        <v>2.5</v>
      </c>
      <c r="F31" s="56">
        <f>F27*E31</f>
        <v>40.58</v>
      </c>
      <c r="G31" s="146">
        <f t="shared" si="8"/>
        <v>1.02</v>
      </c>
      <c r="H31" s="56">
        <f t="shared" si="0"/>
        <v>41.39</v>
      </c>
      <c r="I31" s="57"/>
      <c r="J31" s="56">
        <f t="shared" si="5"/>
        <v>0</v>
      </c>
      <c r="K31" s="57"/>
      <c r="L31" s="56">
        <f t="shared" si="6"/>
        <v>0</v>
      </c>
      <c r="M31" s="58">
        <f t="shared" si="7"/>
        <v>41.39</v>
      </c>
    </row>
    <row r="32" spans="1:13" ht="15">
      <c r="A32" s="59"/>
      <c r="B32" s="60" t="s">
        <v>38</v>
      </c>
      <c r="C32" s="99" t="s">
        <v>47</v>
      </c>
      <c r="D32" s="61" t="s">
        <v>35</v>
      </c>
      <c r="E32" s="62">
        <v>1.03</v>
      </c>
      <c r="F32" s="56">
        <f>E32*((54.77+15.29+14.93+5.69+4.8)/1000)</f>
        <v>0.1</v>
      </c>
      <c r="G32" s="146">
        <f t="shared" si="8"/>
        <v>0</v>
      </c>
      <c r="H32" s="56">
        <f t="shared" si="0"/>
        <v>0</v>
      </c>
      <c r="I32" s="146">
        <f>I24</f>
        <v>0</v>
      </c>
      <c r="J32" s="56">
        <f t="shared" si="5"/>
        <v>0</v>
      </c>
      <c r="K32" s="57"/>
      <c r="L32" s="56">
        <f t="shared" si="6"/>
        <v>0</v>
      </c>
      <c r="M32" s="58">
        <f t="shared" si="7"/>
        <v>0</v>
      </c>
    </row>
    <row r="33" spans="1:13" ht="15">
      <c r="A33" s="59"/>
      <c r="B33" s="60" t="s">
        <v>39</v>
      </c>
      <c r="C33" s="99" t="s">
        <v>45</v>
      </c>
      <c r="D33" s="61" t="s">
        <v>35</v>
      </c>
      <c r="E33" s="62">
        <v>1.03</v>
      </c>
      <c r="F33" s="56">
        <f>E33*((404.39+183.44+391.06+924.23+317.98+37.92+42.32)/1000)</f>
        <v>2.37</v>
      </c>
      <c r="G33" s="146">
        <f t="shared" si="8"/>
        <v>0</v>
      </c>
      <c r="H33" s="56">
        <f t="shared" si="0"/>
        <v>0</v>
      </c>
      <c r="I33" s="146">
        <f>I25</f>
        <v>0</v>
      </c>
      <c r="J33" s="56">
        <f t="shared" si="5"/>
        <v>0</v>
      </c>
      <c r="K33" s="57"/>
      <c r="L33" s="56">
        <f t="shared" si="6"/>
        <v>0</v>
      </c>
      <c r="M33" s="58">
        <f t="shared" si="7"/>
        <v>0</v>
      </c>
    </row>
    <row r="34" spans="1:13" ht="15">
      <c r="A34" s="100"/>
      <c r="B34" s="60" t="s">
        <v>28</v>
      </c>
      <c r="C34" s="99" t="s">
        <v>46</v>
      </c>
      <c r="D34" s="61"/>
      <c r="E34" s="57">
        <v>0.13</v>
      </c>
      <c r="F34" s="56">
        <f>F27*E34</f>
        <v>2.11</v>
      </c>
      <c r="G34" s="146">
        <f t="shared" si="8"/>
        <v>2.04</v>
      </c>
      <c r="H34" s="56">
        <f t="shared" si="0"/>
        <v>4.3</v>
      </c>
      <c r="I34" s="57"/>
      <c r="J34" s="56">
        <f t="shared" si="5"/>
        <v>0</v>
      </c>
      <c r="K34" s="57"/>
      <c r="L34" s="56">
        <f t="shared" si="6"/>
        <v>0</v>
      </c>
      <c r="M34" s="58">
        <f t="shared" si="7"/>
        <v>4.3</v>
      </c>
    </row>
    <row r="35" spans="1:13" s="1" customFormat="1" ht="30">
      <c r="A35" s="59">
        <v>4</v>
      </c>
      <c r="B35" s="119" t="s">
        <v>36</v>
      </c>
      <c r="C35" s="119" t="s">
        <v>64</v>
      </c>
      <c r="D35" s="56" t="s">
        <v>11</v>
      </c>
      <c r="E35" s="56"/>
      <c r="F35" s="120">
        <v>6.6</v>
      </c>
      <c r="G35" s="57"/>
      <c r="H35" s="56">
        <f t="shared" si="0"/>
        <v>0</v>
      </c>
      <c r="I35" s="146">
        <f>'Unit Price Assumptions'!D20</f>
        <v>40.82</v>
      </c>
      <c r="J35" s="56">
        <f t="shared" si="1"/>
        <v>269.41</v>
      </c>
      <c r="K35" s="146">
        <f>K27</f>
        <v>4.08</v>
      </c>
      <c r="L35" s="56">
        <f t="shared" si="2"/>
        <v>26.93</v>
      </c>
      <c r="M35" s="58">
        <f t="shared" si="3"/>
        <v>296.34</v>
      </c>
    </row>
    <row r="36" spans="1:13" ht="15">
      <c r="A36" s="59"/>
      <c r="B36" s="60" t="s">
        <v>56</v>
      </c>
      <c r="C36" s="99" t="s">
        <v>61</v>
      </c>
      <c r="D36" s="61" t="s">
        <v>11</v>
      </c>
      <c r="E36" s="62">
        <v>1.015</v>
      </c>
      <c r="F36" s="56">
        <f>F35*$E$36</f>
        <v>6.7</v>
      </c>
      <c r="G36" s="146">
        <f>G28</f>
        <v>44.97</v>
      </c>
      <c r="H36" s="56">
        <f t="shared" si="0"/>
        <v>301.3</v>
      </c>
      <c r="I36" s="57"/>
      <c r="J36" s="56">
        <f t="shared" si="1"/>
        <v>0</v>
      </c>
      <c r="K36" s="57"/>
      <c r="L36" s="56">
        <f t="shared" si="2"/>
        <v>0</v>
      </c>
      <c r="M36" s="58">
        <f t="shared" si="3"/>
        <v>301.3</v>
      </c>
    </row>
    <row r="37" spans="1:13" ht="15">
      <c r="A37" s="59"/>
      <c r="B37" s="60" t="s">
        <v>29</v>
      </c>
      <c r="C37" s="99" t="s">
        <v>43</v>
      </c>
      <c r="D37" s="61" t="s">
        <v>15</v>
      </c>
      <c r="E37" s="62">
        <v>0.58</v>
      </c>
      <c r="F37" s="56">
        <f>F35*E37</f>
        <v>3.83</v>
      </c>
      <c r="G37" s="146">
        <f>G29</f>
        <v>8.65</v>
      </c>
      <c r="H37" s="56">
        <f t="shared" si="0"/>
        <v>33.13</v>
      </c>
      <c r="I37" s="57"/>
      <c r="J37" s="56">
        <f t="shared" si="1"/>
        <v>0</v>
      </c>
      <c r="K37" s="57"/>
      <c r="L37" s="56">
        <f t="shared" si="2"/>
        <v>0</v>
      </c>
      <c r="M37" s="58">
        <f t="shared" si="3"/>
        <v>33.13</v>
      </c>
    </row>
    <row r="38" spans="1:13" ht="15">
      <c r="A38" s="59"/>
      <c r="B38" s="60" t="s">
        <v>34</v>
      </c>
      <c r="C38" s="99" t="s">
        <v>48</v>
      </c>
      <c r="D38" s="61" t="s">
        <v>11</v>
      </c>
      <c r="E38" s="62">
        <v>0.02</v>
      </c>
      <c r="F38" s="56">
        <f>F35*E38</f>
        <v>0.13</v>
      </c>
      <c r="G38" s="146">
        <f>'Unit Price Assumptions'!C14</f>
        <v>224.84</v>
      </c>
      <c r="H38" s="56">
        <f t="shared" si="0"/>
        <v>29.23</v>
      </c>
      <c r="I38" s="57"/>
      <c r="J38" s="56">
        <f t="shared" si="1"/>
        <v>0</v>
      </c>
      <c r="K38" s="57"/>
      <c r="L38" s="56">
        <f t="shared" si="2"/>
        <v>0</v>
      </c>
      <c r="M38" s="58">
        <f t="shared" si="3"/>
        <v>29.23</v>
      </c>
    </row>
    <row r="39" spans="1:13" ht="15">
      <c r="A39" s="59"/>
      <c r="B39" s="60" t="s">
        <v>30</v>
      </c>
      <c r="C39" s="99" t="s">
        <v>44</v>
      </c>
      <c r="D39" s="61" t="s">
        <v>12</v>
      </c>
      <c r="E39" s="62">
        <v>2.5</v>
      </c>
      <c r="F39" s="56">
        <f>F35*E39</f>
        <v>16.5</v>
      </c>
      <c r="G39" s="146">
        <f>G31</f>
        <v>1.02</v>
      </c>
      <c r="H39" s="56">
        <f t="shared" si="0"/>
        <v>16.83</v>
      </c>
      <c r="I39" s="57"/>
      <c r="J39" s="56">
        <f t="shared" si="1"/>
        <v>0</v>
      </c>
      <c r="K39" s="57"/>
      <c r="L39" s="56">
        <f t="shared" si="2"/>
        <v>0</v>
      </c>
      <c r="M39" s="58">
        <f t="shared" si="3"/>
        <v>16.83</v>
      </c>
    </row>
    <row r="40" spans="1:13" ht="15">
      <c r="A40" s="59"/>
      <c r="B40" s="60" t="s">
        <v>38</v>
      </c>
      <c r="C40" s="99" t="s">
        <v>47</v>
      </c>
      <c r="D40" s="61" t="s">
        <v>35</v>
      </c>
      <c r="E40" s="62">
        <v>1.03</v>
      </c>
      <c r="F40" s="56">
        <f>0.02*E40</f>
        <v>0.02</v>
      </c>
      <c r="G40" s="146">
        <f>G32</f>
        <v>0</v>
      </c>
      <c r="H40" s="56">
        <f t="shared" si="0"/>
        <v>0</v>
      </c>
      <c r="I40" s="146">
        <f>I32</f>
        <v>0</v>
      </c>
      <c r="J40" s="56">
        <f t="shared" si="1"/>
        <v>0</v>
      </c>
      <c r="K40" s="57"/>
      <c r="L40" s="56">
        <f t="shared" si="2"/>
        <v>0</v>
      </c>
      <c r="M40" s="58">
        <f t="shared" si="3"/>
        <v>0</v>
      </c>
    </row>
    <row r="41" spans="1:13" ht="15">
      <c r="A41" s="59"/>
      <c r="B41" s="60" t="s">
        <v>39</v>
      </c>
      <c r="C41" s="99" t="s">
        <v>45</v>
      </c>
      <c r="D41" s="61" t="s">
        <v>35</v>
      </c>
      <c r="E41" s="62">
        <v>1.03</v>
      </c>
      <c r="F41" s="56">
        <f>0.56*E41</f>
        <v>0.58</v>
      </c>
      <c r="G41" s="146">
        <f>G33</f>
        <v>0</v>
      </c>
      <c r="H41" s="56">
        <f t="shared" si="0"/>
        <v>0</v>
      </c>
      <c r="I41" s="146">
        <f>I33</f>
        <v>0</v>
      </c>
      <c r="J41" s="56">
        <f t="shared" si="1"/>
        <v>0</v>
      </c>
      <c r="K41" s="57"/>
      <c r="L41" s="56">
        <f t="shared" si="2"/>
        <v>0</v>
      </c>
      <c r="M41" s="58">
        <f t="shared" si="3"/>
        <v>0</v>
      </c>
    </row>
    <row r="42" spans="1:13" ht="15.75" thickBot="1">
      <c r="A42" s="100"/>
      <c r="B42" s="60" t="s">
        <v>28</v>
      </c>
      <c r="C42" s="99" t="s">
        <v>46</v>
      </c>
      <c r="D42" s="61"/>
      <c r="E42" s="57">
        <v>0.39</v>
      </c>
      <c r="F42" s="56">
        <f>F35*E42</f>
        <v>2.57</v>
      </c>
      <c r="G42" s="146">
        <f>G34</f>
        <v>2.04</v>
      </c>
      <c r="H42" s="56">
        <f t="shared" si="0"/>
        <v>5.24</v>
      </c>
      <c r="I42" s="57"/>
      <c r="J42" s="56">
        <f t="shared" si="1"/>
        <v>0</v>
      </c>
      <c r="K42" s="57"/>
      <c r="L42" s="56">
        <f t="shared" si="2"/>
        <v>0</v>
      </c>
      <c r="M42" s="58">
        <f t="shared" si="3"/>
        <v>5.24</v>
      </c>
    </row>
    <row r="43" spans="2:13" ht="15.75" thickBot="1">
      <c r="B43" s="42"/>
      <c r="C43" s="42"/>
      <c r="D43" s="63"/>
      <c r="E43" s="42"/>
      <c r="F43" s="101"/>
      <c r="G43" s="40"/>
      <c r="H43" s="66">
        <f>SUM(H11:H42)</f>
        <v>16665.05</v>
      </c>
      <c r="I43" s="67"/>
      <c r="J43" s="68">
        <f>SUM(J11:J42)</f>
        <v>11992.91</v>
      </c>
      <c r="K43" s="67"/>
      <c r="L43" s="68">
        <f>SUM(L11:L42)</f>
        <v>1198.71</v>
      </c>
      <c r="M43" s="102">
        <f>SUM(M11:M42)</f>
        <v>29856.67</v>
      </c>
    </row>
    <row r="44" spans="1:14" s="2" customFormat="1" ht="15" customHeight="1">
      <c r="A44" s="39"/>
      <c r="B44" s="39"/>
      <c r="C44" s="39"/>
      <c r="D44" s="39"/>
      <c r="E44" s="39"/>
      <c r="F44" s="70"/>
      <c r="G44" s="71"/>
      <c r="H44" s="223" t="s">
        <v>26</v>
      </c>
      <c r="I44" s="224"/>
      <c r="J44" s="72"/>
      <c r="K44" s="73">
        <f>'-10.430'!$K$20</f>
        <v>0.08</v>
      </c>
      <c r="L44" s="72"/>
      <c r="M44" s="74">
        <f>M43*K44</f>
        <v>2388.53</v>
      </c>
      <c r="N44" s="5"/>
    </row>
    <row r="45" spans="1:14" s="2" customFormat="1" ht="15" customHeight="1" thickBot="1">
      <c r="A45" s="39"/>
      <c r="B45" s="39"/>
      <c r="C45" s="39"/>
      <c r="D45" s="75"/>
      <c r="E45" s="76"/>
      <c r="F45" s="70"/>
      <c r="G45" s="70"/>
      <c r="H45" s="225" t="s">
        <v>27</v>
      </c>
      <c r="I45" s="226"/>
      <c r="J45" s="77"/>
      <c r="K45" s="78" t="str">
        <f>K47</f>
        <v>USD</v>
      </c>
      <c r="L45" s="77"/>
      <c r="M45" s="79">
        <f>M43+M44</f>
        <v>32245.2</v>
      </c>
      <c r="N45" s="5"/>
    </row>
    <row r="46" spans="1:14" s="2" customFormat="1" ht="15">
      <c r="A46" s="39"/>
      <c r="B46" s="39"/>
      <c r="C46" s="39"/>
      <c r="D46" s="75"/>
      <c r="E46" s="76"/>
      <c r="F46" s="70"/>
      <c r="G46" s="71"/>
      <c r="H46" s="223" t="s">
        <v>66</v>
      </c>
      <c r="I46" s="224"/>
      <c r="J46" s="72"/>
      <c r="K46" s="73">
        <f>'-10.430'!$K$22</f>
        <v>0.08</v>
      </c>
      <c r="L46" s="72"/>
      <c r="M46" s="74">
        <f>M45*K46</f>
        <v>2579.62</v>
      </c>
      <c r="N46" s="5"/>
    </row>
    <row r="47" spans="1:14" s="2" customFormat="1" ht="15.75" thickBot="1">
      <c r="A47" s="39"/>
      <c r="B47" s="39"/>
      <c r="C47" s="39"/>
      <c r="D47" s="75"/>
      <c r="E47" s="76"/>
      <c r="F47" s="80"/>
      <c r="G47" s="71"/>
      <c r="H47" s="225" t="s">
        <v>27</v>
      </c>
      <c r="I47" s="226"/>
      <c r="J47" s="77"/>
      <c r="K47" s="81" t="s">
        <v>19</v>
      </c>
      <c r="L47" s="77"/>
      <c r="M47" s="79">
        <f>M45+M46</f>
        <v>34824.82</v>
      </c>
      <c r="N47" s="5"/>
    </row>
    <row r="48" spans="1:14" s="2" customFormat="1" ht="15">
      <c r="A48" s="39"/>
      <c r="B48" s="39"/>
      <c r="C48" s="39"/>
      <c r="D48" s="39"/>
      <c r="E48" s="39"/>
      <c r="F48" s="39"/>
      <c r="G48" s="71"/>
      <c r="H48" s="219" t="s">
        <v>33</v>
      </c>
      <c r="I48" s="220"/>
      <c r="J48" s="72"/>
      <c r="K48" s="82">
        <v>0.18</v>
      </c>
      <c r="L48" s="72"/>
      <c r="M48" s="74">
        <f>M47*K48</f>
        <v>6268.47</v>
      </c>
      <c r="N48" s="5"/>
    </row>
    <row r="49" spans="1:14" s="2" customFormat="1" ht="15.75" thickBot="1">
      <c r="A49" s="39"/>
      <c r="B49" s="39"/>
      <c r="C49" s="39"/>
      <c r="D49" s="39"/>
      <c r="E49" s="39"/>
      <c r="F49" s="39"/>
      <c r="G49" s="71"/>
      <c r="H49" s="221" t="s">
        <v>25</v>
      </c>
      <c r="I49" s="222"/>
      <c r="J49" s="77"/>
      <c r="K49" s="83" t="s">
        <v>19</v>
      </c>
      <c r="L49" s="77"/>
      <c r="M49" s="79">
        <f>M47+M48</f>
        <v>41093.29</v>
      </c>
      <c r="N49" s="5"/>
    </row>
  </sheetData>
  <mergeCells count="20">
    <mergeCell ref="A7:G7"/>
    <mergeCell ref="K2:M2"/>
    <mergeCell ref="D4:I4"/>
    <mergeCell ref="I8:J8"/>
    <mergeCell ref="K8:L8"/>
    <mergeCell ref="M8:M9"/>
    <mergeCell ref="D5:I5"/>
    <mergeCell ref="C8:C9"/>
    <mergeCell ref="H49:I49"/>
    <mergeCell ref="A8:A9"/>
    <mergeCell ref="B8:B9"/>
    <mergeCell ref="D8:D9"/>
    <mergeCell ref="E8:F8"/>
    <mergeCell ref="G8:H8"/>
    <mergeCell ref="B10:C10"/>
    <mergeCell ref="H44:I44"/>
    <mergeCell ref="H45:I45"/>
    <mergeCell ref="H46:I46"/>
    <mergeCell ref="H47:I47"/>
    <mergeCell ref="H48:I48"/>
  </mergeCells>
  <printOptions/>
  <pageMargins left="0.3937007874015748" right="0.3937007874015748" top="0.5118110236220472" bottom="0.2362204724409449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 topLeftCell="A24">
      <selection activeCell="E38" sqref="E38"/>
    </sheetView>
  </sheetViews>
  <sheetFormatPr defaultColWidth="8.8515625" defaultRowHeight="15"/>
  <cols>
    <col min="1" max="1" width="3.421875" style="44" bestFit="1" customWidth="1"/>
    <col min="2" max="2" width="35.7109375" style="46" customWidth="1"/>
    <col min="3" max="3" width="38.140625" style="46" customWidth="1"/>
    <col min="4" max="4" width="7.7109375" style="44" customWidth="1"/>
    <col min="5" max="5" width="11.5742187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8.7109375" style="44" customWidth="1"/>
    <col min="10" max="10" width="13.140625" style="44" bestFit="1" customWidth="1"/>
    <col min="11" max="11" width="12.140625" style="44" customWidth="1"/>
    <col min="12" max="12" width="16.421875" style="44" customWidth="1"/>
    <col min="13" max="13" width="15.00390625" style="114" customWidth="1"/>
    <col min="14" max="16384" width="8.8515625" style="4" customWidth="1"/>
  </cols>
  <sheetData>
    <row r="1" spans="1:13" ht="21">
      <c r="A1" s="42"/>
      <c r="B1" s="42"/>
      <c r="C1" s="103" t="s">
        <v>16</v>
      </c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12" customHeight="1">
      <c r="A2" s="63"/>
      <c r="B2" s="42"/>
      <c r="C2" s="42"/>
      <c r="D2" s="63"/>
      <c r="E2" s="42"/>
      <c r="F2" s="42"/>
      <c r="G2" s="40"/>
      <c r="H2" s="42"/>
      <c r="I2" s="40"/>
      <c r="J2" s="42"/>
      <c r="K2" s="227" t="s">
        <v>18</v>
      </c>
      <c r="L2" s="228"/>
      <c r="M2" s="229"/>
    </row>
    <row r="3" spans="1:13" ht="15" customHeight="1">
      <c r="A3" s="63"/>
      <c r="B3" s="42"/>
      <c r="C3" s="42"/>
      <c r="D3" s="241"/>
      <c r="E3" s="241"/>
      <c r="F3" s="241"/>
      <c r="G3" s="241"/>
      <c r="H3" s="241"/>
      <c r="I3" s="241"/>
      <c r="J3" s="42"/>
      <c r="K3" s="89" t="s">
        <v>19</v>
      </c>
      <c r="L3" s="89" t="s">
        <v>40</v>
      </c>
      <c r="M3" s="57" t="str">
        <f ca="1">'-10.430'!M4</f>
        <v>US $  Rate</v>
      </c>
    </row>
    <row r="4" spans="1:13" ht="16.5" customHeight="1">
      <c r="A4" s="42"/>
      <c r="B4" s="110" t="s">
        <v>67</v>
      </c>
      <c r="C4" s="42"/>
      <c r="D4" s="241"/>
      <c r="E4" s="241"/>
      <c r="F4" s="241"/>
      <c r="G4" s="241"/>
      <c r="H4" s="241"/>
      <c r="I4" s="241"/>
      <c r="J4" s="42"/>
      <c r="K4" s="26">
        <f>M50</f>
        <v>40687.59</v>
      </c>
      <c r="L4" s="121">
        <f>K4*M4</f>
        <v>99684.6</v>
      </c>
      <c r="M4" s="91">
        <f>'Unit Price Assumptions'!D4</f>
        <v>2.45</v>
      </c>
    </row>
    <row r="5" spans="1:13" ht="15">
      <c r="A5" s="42"/>
      <c r="B5" s="42"/>
      <c r="C5" s="42"/>
      <c r="D5" s="241"/>
      <c r="E5" s="241"/>
      <c r="F5" s="241"/>
      <c r="G5" s="241"/>
      <c r="H5" s="241"/>
      <c r="I5" s="241"/>
      <c r="J5" s="42"/>
      <c r="K5" s="43"/>
      <c r="L5" s="43"/>
      <c r="M5" s="30"/>
    </row>
    <row r="6" spans="1:13" ht="15.75" thickBot="1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ht="15.75" hidden="1" thickBot="1"/>
    <row r="8" ht="15.75" hidden="1" thickBot="1"/>
    <row r="9" spans="1:13" ht="27" customHeight="1">
      <c r="A9" s="231" t="s">
        <v>0</v>
      </c>
      <c r="B9" s="233" t="s">
        <v>20</v>
      </c>
      <c r="C9" s="235" t="s">
        <v>41</v>
      </c>
      <c r="D9" s="237" t="s">
        <v>31</v>
      </c>
      <c r="E9" s="217" t="s">
        <v>21</v>
      </c>
      <c r="F9" s="218"/>
      <c r="G9" s="217" t="s">
        <v>22</v>
      </c>
      <c r="H9" s="218"/>
      <c r="I9" s="217" t="s">
        <v>23</v>
      </c>
      <c r="J9" s="218"/>
      <c r="K9" s="217" t="s">
        <v>24</v>
      </c>
      <c r="L9" s="218"/>
      <c r="M9" s="242" t="s">
        <v>18</v>
      </c>
    </row>
    <row r="10" spans="1:13" ht="48.75" customHeight="1">
      <c r="A10" s="232"/>
      <c r="B10" s="234"/>
      <c r="C10" s="236"/>
      <c r="D10" s="238"/>
      <c r="E10" s="47" t="s">
        <v>114</v>
      </c>
      <c r="F10" s="48" t="s">
        <v>18</v>
      </c>
      <c r="G10" s="47" t="s">
        <v>103</v>
      </c>
      <c r="H10" s="48" t="s">
        <v>18</v>
      </c>
      <c r="I10" s="47" t="s">
        <v>103</v>
      </c>
      <c r="J10" s="48" t="s">
        <v>18</v>
      </c>
      <c r="K10" s="47" t="s">
        <v>32</v>
      </c>
      <c r="L10" s="48" t="s">
        <v>18</v>
      </c>
      <c r="M10" s="243"/>
    </row>
    <row r="11" spans="1:14" ht="10.5" customHeight="1">
      <c r="A11" s="49" t="s">
        <v>1</v>
      </c>
      <c r="B11" s="215" t="s">
        <v>13</v>
      </c>
      <c r="C11" s="216"/>
      <c r="D11" s="52" t="s">
        <v>2</v>
      </c>
      <c r="E11" s="51" t="s">
        <v>3</v>
      </c>
      <c r="F11" s="52" t="s">
        <v>14</v>
      </c>
      <c r="G11" s="51" t="s">
        <v>4</v>
      </c>
      <c r="H11" s="53" t="s">
        <v>5</v>
      </c>
      <c r="I11" s="50" t="s">
        <v>6</v>
      </c>
      <c r="J11" s="52" t="s">
        <v>7</v>
      </c>
      <c r="K11" s="51" t="s">
        <v>8</v>
      </c>
      <c r="L11" s="53" t="s">
        <v>9</v>
      </c>
      <c r="M11" s="50" t="s">
        <v>10</v>
      </c>
      <c r="N11" s="7"/>
    </row>
    <row r="12" spans="1:16" s="1" customFormat="1" ht="30">
      <c r="A12" s="55">
        <v>1</v>
      </c>
      <c r="B12" s="119" t="s">
        <v>59</v>
      </c>
      <c r="C12" s="119" t="s">
        <v>60</v>
      </c>
      <c r="D12" s="56" t="s">
        <v>11</v>
      </c>
      <c r="E12" s="56"/>
      <c r="F12" s="120">
        <f>194+52.44</f>
        <v>246.44</v>
      </c>
      <c r="G12" s="57"/>
      <c r="H12" s="56">
        <f aca="true" t="shared" si="0" ref="H12:H43">F12*G12</f>
        <v>0</v>
      </c>
      <c r="I12" s="146">
        <f>'Unit Price Assumptions'!D19</f>
        <v>40.82</v>
      </c>
      <c r="J12" s="56">
        <f>F12*I12</f>
        <v>10059.68</v>
      </c>
      <c r="K12" s="146">
        <f>'Unit Price Assumptions'!D21</f>
        <v>4.08</v>
      </c>
      <c r="L12" s="56">
        <f aca="true" t="shared" si="1" ref="L12:L19">F12*K12</f>
        <v>1005.48</v>
      </c>
      <c r="M12" s="58">
        <f aca="true" t="shared" si="2" ref="M12:M19">H12+J12+L12</f>
        <v>11065.16</v>
      </c>
      <c r="O12" s="56">
        <f>(3397.1+76.55+16.95+145.95+72.05)/1000</f>
        <v>3.71</v>
      </c>
      <c r="P12" s="9"/>
    </row>
    <row r="13" spans="1:16" ht="15">
      <c r="A13" s="59"/>
      <c r="B13" s="60" t="s">
        <v>56</v>
      </c>
      <c r="C13" s="60" t="s">
        <v>61</v>
      </c>
      <c r="D13" s="61" t="s">
        <v>11</v>
      </c>
      <c r="E13" s="62">
        <v>1.015</v>
      </c>
      <c r="F13" s="56">
        <f>$F$12*E13</f>
        <v>250.14</v>
      </c>
      <c r="G13" s="146">
        <f>'Unit Price Assumptions'!C8</f>
        <v>44.97</v>
      </c>
      <c r="H13" s="56">
        <f t="shared" si="0"/>
        <v>11248.8</v>
      </c>
      <c r="I13" s="57"/>
      <c r="J13" s="56">
        <f aca="true" t="shared" si="3" ref="J13:J43">F13*I13</f>
        <v>0</v>
      </c>
      <c r="K13" s="57"/>
      <c r="L13" s="56">
        <f t="shared" si="1"/>
        <v>0</v>
      </c>
      <c r="M13" s="58">
        <f t="shared" si="2"/>
        <v>11248.8</v>
      </c>
      <c r="O13" s="56">
        <f>(7406+869+463+370.32+331.8)/1000</f>
        <v>9.44</v>
      </c>
      <c r="P13" s="6"/>
    </row>
    <row r="14" spans="1:16" ht="15">
      <c r="A14" s="59"/>
      <c r="B14" s="60" t="s">
        <v>29</v>
      </c>
      <c r="C14" s="60" t="s">
        <v>43</v>
      </c>
      <c r="D14" s="61" t="s">
        <v>15</v>
      </c>
      <c r="E14" s="62">
        <v>0.3</v>
      </c>
      <c r="F14" s="56">
        <f>$F$12*E14</f>
        <v>73.93</v>
      </c>
      <c r="G14" s="146">
        <f>'Unit Price Assumptions'!C12</f>
        <v>8.65</v>
      </c>
      <c r="H14" s="56">
        <f t="shared" si="0"/>
        <v>639.49</v>
      </c>
      <c r="I14" s="57"/>
      <c r="J14" s="56">
        <f t="shared" si="3"/>
        <v>0</v>
      </c>
      <c r="K14" s="57"/>
      <c r="L14" s="56">
        <f t="shared" si="1"/>
        <v>0</v>
      </c>
      <c r="M14" s="58">
        <f t="shared" si="2"/>
        <v>639.49</v>
      </c>
      <c r="O14" s="56">
        <v>52.44</v>
      </c>
      <c r="P14" s="6"/>
    </row>
    <row r="15" spans="1:16" ht="15">
      <c r="A15" s="59"/>
      <c r="B15" s="60" t="s">
        <v>37</v>
      </c>
      <c r="C15" s="60" t="s">
        <v>42</v>
      </c>
      <c r="D15" s="61" t="s">
        <v>11</v>
      </c>
      <c r="E15" s="62">
        <v>0.011</v>
      </c>
      <c r="F15" s="56">
        <f>$F$12*E15</f>
        <v>2.71</v>
      </c>
      <c r="G15" s="146">
        <f>'Unit Price Assumptions'!C13</f>
        <v>475.61</v>
      </c>
      <c r="H15" s="56">
        <f t="shared" si="0"/>
        <v>1288.9</v>
      </c>
      <c r="I15" s="57"/>
      <c r="J15" s="56">
        <f t="shared" si="3"/>
        <v>0</v>
      </c>
      <c r="K15" s="57"/>
      <c r="L15" s="56">
        <f t="shared" si="1"/>
        <v>0</v>
      </c>
      <c r="M15" s="58">
        <f t="shared" si="2"/>
        <v>1288.9</v>
      </c>
      <c r="P15" s="6"/>
    </row>
    <row r="16" spans="1:16" ht="15">
      <c r="A16" s="59"/>
      <c r="B16" s="60" t="s">
        <v>30</v>
      </c>
      <c r="C16" s="60" t="s">
        <v>44</v>
      </c>
      <c r="D16" s="61" t="s">
        <v>12</v>
      </c>
      <c r="E16" s="62">
        <v>2.5</v>
      </c>
      <c r="F16" s="56">
        <f>$F$12*E16</f>
        <v>616.1</v>
      </c>
      <c r="G16" s="146">
        <f>'Unit Price Assumptions'!C15</f>
        <v>1.02</v>
      </c>
      <c r="H16" s="56">
        <f t="shared" si="0"/>
        <v>628.42</v>
      </c>
      <c r="I16" s="57"/>
      <c r="J16" s="56">
        <f t="shared" si="3"/>
        <v>0</v>
      </c>
      <c r="K16" s="57"/>
      <c r="L16" s="56">
        <f t="shared" si="1"/>
        <v>0</v>
      </c>
      <c r="M16" s="58">
        <f t="shared" si="2"/>
        <v>628.42</v>
      </c>
      <c r="P16" s="6"/>
    </row>
    <row r="17" spans="1:16" ht="15">
      <c r="A17" s="59"/>
      <c r="B17" s="60" t="s">
        <v>38</v>
      </c>
      <c r="C17" s="60" t="s">
        <v>47</v>
      </c>
      <c r="D17" s="61" t="s">
        <v>35</v>
      </c>
      <c r="E17" s="62">
        <v>1.03</v>
      </c>
      <c r="F17" s="56">
        <f>((3397.1+76.55+16.95+145.95+72.05+22.04+299.81+272.08)/1000)*E17</f>
        <v>4.43</v>
      </c>
      <c r="G17" s="146">
        <f>'Unit Price Assumptions'!C10</f>
        <v>0</v>
      </c>
      <c r="H17" s="56">
        <f t="shared" si="0"/>
        <v>0</v>
      </c>
      <c r="I17" s="146">
        <f>'Unit Price Assumptions'!D10</f>
        <v>0</v>
      </c>
      <c r="J17" s="56">
        <f t="shared" si="3"/>
        <v>0</v>
      </c>
      <c r="K17" s="57"/>
      <c r="L17" s="56">
        <f t="shared" si="1"/>
        <v>0</v>
      </c>
      <c r="M17" s="58">
        <f t="shared" si="2"/>
        <v>0</v>
      </c>
      <c r="P17" s="6"/>
    </row>
    <row r="18" spans="1:13" ht="15">
      <c r="A18" s="59"/>
      <c r="B18" s="60" t="s">
        <v>39</v>
      </c>
      <c r="C18" s="60" t="s">
        <v>45</v>
      </c>
      <c r="D18" s="61" t="s">
        <v>35</v>
      </c>
      <c r="E18" s="62">
        <v>1.03</v>
      </c>
      <c r="F18" s="56">
        <f>((7406+869+463+370.32+331.8+6036+8710+1209.7+1036.9+160.47+43.2+162.94+158)/1000)*E18</f>
        <v>27.77</v>
      </c>
      <c r="G18" s="146">
        <f>'Unit Price Assumptions'!C11</f>
        <v>0</v>
      </c>
      <c r="H18" s="56">
        <f t="shared" si="0"/>
        <v>0</v>
      </c>
      <c r="I18" s="146">
        <f>'Unit Price Assumptions'!D11</f>
        <v>0</v>
      </c>
      <c r="J18" s="56">
        <f t="shared" si="3"/>
        <v>0</v>
      </c>
      <c r="K18" s="57"/>
      <c r="L18" s="56">
        <f t="shared" si="1"/>
        <v>0</v>
      </c>
      <c r="M18" s="58">
        <f t="shared" si="2"/>
        <v>0</v>
      </c>
    </row>
    <row r="19" spans="1:13" ht="15">
      <c r="A19" s="59"/>
      <c r="B19" s="60" t="s">
        <v>28</v>
      </c>
      <c r="C19" s="60" t="s">
        <v>46</v>
      </c>
      <c r="D19" s="61"/>
      <c r="E19" s="57">
        <v>0.16</v>
      </c>
      <c r="F19" s="56">
        <f>$F$12*E19</f>
        <v>39.43</v>
      </c>
      <c r="G19" s="146">
        <f>'Unit Price Assumptions'!C16</f>
        <v>2.04</v>
      </c>
      <c r="H19" s="56">
        <f t="shared" si="0"/>
        <v>80.44</v>
      </c>
      <c r="I19" s="57"/>
      <c r="J19" s="56">
        <f t="shared" si="3"/>
        <v>0</v>
      </c>
      <c r="K19" s="57"/>
      <c r="L19" s="56">
        <f t="shared" si="1"/>
        <v>0</v>
      </c>
      <c r="M19" s="58">
        <f t="shared" si="2"/>
        <v>80.44</v>
      </c>
    </row>
    <row r="20" spans="1:13" s="1" customFormat="1" ht="30">
      <c r="A20" s="55">
        <v>2</v>
      </c>
      <c r="B20" s="119" t="s">
        <v>62</v>
      </c>
      <c r="C20" s="119" t="s">
        <v>63</v>
      </c>
      <c r="D20" s="56" t="s">
        <v>11</v>
      </c>
      <c r="E20" s="56"/>
      <c r="F20" s="120">
        <f>0.85+11.96+7.69+2.44+0.49+1.1</f>
        <v>24.53</v>
      </c>
      <c r="G20" s="57"/>
      <c r="H20" s="56">
        <f t="shared" si="0"/>
        <v>0</v>
      </c>
      <c r="I20" s="146">
        <f>'Unit Price Assumptions'!D17</f>
        <v>40.82</v>
      </c>
      <c r="J20" s="56">
        <f t="shared" si="3"/>
        <v>1001.31</v>
      </c>
      <c r="K20" s="146">
        <f>K12</f>
        <v>4.08</v>
      </c>
      <c r="L20" s="56">
        <f aca="true" t="shared" si="4" ref="L20:L43">F20*K20</f>
        <v>100.08</v>
      </c>
      <c r="M20" s="58">
        <f aca="true" t="shared" si="5" ref="M20:M43">H20+J20+L20</f>
        <v>1101.39</v>
      </c>
    </row>
    <row r="21" spans="1:13" ht="15">
      <c r="A21" s="59"/>
      <c r="B21" s="60" t="s">
        <v>56</v>
      </c>
      <c r="C21" s="99" t="s">
        <v>61</v>
      </c>
      <c r="D21" s="61" t="s">
        <v>11</v>
      </c>
      <c r="E21" s="62">
        <v>1.015</v>
      </c>
      <c r="F21" s="56">
        <f>$F$20*E21</f>
        <v>24.9</v>
      </c>
      <c r="G21" s="146">
        <f aca="true" t="shared" si="6" ref="G21:G27">G13</f>
        <v>44.97</v>
      </c>
      <c r="H21" s="56">
        <f t="shared" si="0"/>
        <v>1119.75</v>
      </c>
      <c r="I21" s="57"/>
      <c r="J21" s="56">
        <f t="shared" si="3"/>
        <v>0</v>
      </c>
      <c r="K21" s="57"/>
      <c r="L21" s="56">
        <f t="shared" si="4"/>
        <v>0</v>
      </c>
      <c r="M21" s="58">
        <f t="shared" si="5"/>
        <v>1119.75</v>
      </c>
    </row>
    <row r="22" spans="1:13" ht="15">
      <c r="A22" s="59"/>
      <c r="B22" s="60" t="s">
        <v>29</v>
      </c>
      <c r="C22" s="99" t="s">
        <v>43</v>
      </c>
      <c r="D22" s="61" t="s">
        <v>15</v>
      </c>
      <c r="E22" s="62">
        <v>0.61</v>
      </c>
      <c r="F22" s="56">
        <f>$F$20*E22</f>
        <v>14.96</v>
      </c>
      <c r="G22" s="146">
        <f t="shared" si="6"/>
        <v>8.65</v>
      </c>
      <c r="H22" s="56">
        <f t="shared" si="0"/>
        <v>129.4</v>
      </c>
      <c r="I22" s="57"/>
      <c r="J22" s="56">
        <f t="shared" si="3"/>
        <v>0</v>
      </c>
      <c r="K22" s="57"/>
      <c r="L22" s="56">
        <f t="shared" si="4"/>
        <v>0</v>
      </c>
      <c r="M22" s="58">
        <f t="shared" si="5"/>
        <v>129.4</v>
      </c>
    </row>
    <row r="23" spans="1:13" ht="15">
      <c r="A23" s="59"/>
      <c r="B23" s="60" t="s">
        <v>37</v>
      </c>
      <c r="C23" s="60" t="s">
        <v>42</v>
      </c>
      <c r="D23" s="61" t="s">
        <v>11</v>
      </c>
      <c r="E23" s="62">
        <v>0.013</v>
      </c>
      <c r="F23" s="56">
        <f>$F$20*E23</f>
        <v>0.32</v>
      </c>
      <c r="G23" s="146">
        <f t="shared" si="6"/>
        <v>475.61</v>
      </c>
      <c r="H23" s="56">
        <f t="shared" si="0"/>
        <v>152.2</v>
      </c>
      <c r="I23" s="57"/>
      <c r="J23" s="56">
        <f t="shared" si="3"/>
        <v>0</v>
      </c>
      <c r="K23" s="57"/>
      <c r="L23" s="56">
        <f t="shared" si="4"/>
        <v>0</v>
      </c>
      <c r="M23" s="58">
        <f t="shared" si="5"/>
        <v>152.2</v>
      </c>
    </row>
    <row r="24" spans="1:13" ht="15">
      <c r="A24" s="59"/>
      <c r="B24" s="60" t="s">
        <v>30</v>
      </c>
      <c r="C24" s="99" t="s">
        <v>44</v>
      </c>
      <c r="D24" s="61" t="s">
        <v>12</v>
      </c>
      <c r="E24" s="62">
        <v>2.5</v>
      </c>
      <c r="F24" s="56">
        <f>$F$20*E24</f>
        <v>61.33</v>
      </c>
      <c r="G24" s="146">
        <f t="shared" si="6"/>
        <v>1.02</v>
      </c>
      <c r="H24" s="56">
        <f t="shared" si="0"/>
        <v>62.56</v>
      </c>
      <c r="I24" s="57"/>
      <c r="J24" s="56">
        <f t="shared" si="3"/>
        <v>0</v>
      </c>
      <c r="K24" s="57"/>
      <c r="L24" s="56">
        <f t="shared" si="4"/>
        <v>0</v>
      </c>
      <c r="M24" s="58">
        <f t="shared" si="5"/>
        <v>62.56</v>
      </c>
    </row>
    <row r="25" spans="1:13" ht="15">
      <c r="A25" s="59"/>
      <c r="B25" s="60" t="s">
        <v>38</v>
      </c>
      <c r="C25" s="99" t="s">
        <v>47</v>
      </c>
      <c r="D25" s="61" t="s">
        <v>35</v>
      </c>
      <c r="E25" s="62">
        <v>1.03</v>
      </c>
      <c r="F25" s="56">
        <f>((24.97+12.79+349.62+174.81+201.05+100.75+86.27+17.25+45.82)/1000)*E25</f>
        <v>1.04</v>
      </c>
      <c r="G25" s="146">
        <f t="shared" si="6"/>
        <v>0</v>
      </c>
      <c r="H25" s="56">
        <f t="shared" si="0"/>
        <v>0</v>
      </c>
      <c r="I25" s="146">
        <f>I17</f>
        <v>0</v>
      </c>
      <c r="J25" s="56">
        <f t="shared" si="3"/>
        <v>0</v>
      </c>
      <c r="K25" s="57"/>
      <c r="L25" s="56">
        <f t="shared" si="4"/>
        <v>0</v>
      </c>
      <c r="M25" s="58">
        <f t="shared" si="5"/>
        <v>0</v>
      </c>
    </row>
    <row r="26" spans="1:13" ht="15">
      <c r="A26" s="59"/>
      <c r="B26" s="60" t="s">
        <v>39</v>
      </c>
      <c r="C26" s="99" t="s">
        <v>45</v>
      </c>
      <c r="D26" s="61" t="s">
        <v>35</v>
      </c>
      <c r="E26" s="62">
        <v>1.03</v>
      </c>
      <c r="F26" s="56">
        <f>((102.58+48.39+74.84+1101.71+523.85+635.97+426.61+613.26+345.64+60.24+103.69+12.05+138.25+22.12)/1000)*E26</f>
        <v>4.34</v>
      </c>
      <c r="G26" s="146">
        <f t="shared" si="6"/>
        <v>0</v>
      </c>
      <c r="H26" s="56">
        <f t="shared" si="0"/>
        <v>0</v>
      </c>
      <c r="I26" s="146">
        <f>I18</f>
        <v>0</v>
      </c>
      <c r="J26" s="56">
        <f t="shared" si="3"/>
        <v>0</v>
      </c>
      <c r="K26" s="57"/>
      <c r="L26" s="56">
        <f t="shared" si="4"/>
        <v>0</v>
      </c>
      <c r="M26" s="58">
        <f t="shared" si="5"/>
        <v>0</v>
      </c>
    </row>
    <row r="27" spans="1:13" ht="15">
      <c r="A27" s="100"/>
      <c r="B27" s="60" t="s">
        <v>28</v>
      </c>
      <c r="C27" s="99" t="s">
        <v>46</v>
      </c>
      <c r="D27" s="61"/>
      <c r="E27" s="57">
        <v>0.25</v>
      </c>
      <c r="F27" s="56">
        <f>$F$20*E27</f>
        <v>6.13</v>
      </c>
      <c r="G27" s="146">
        <f t="shared" si="6"/>
        <v>2.04</v>
      </c>
      <c r="H27" s="56">
        <f t="shared" si="0"/>
        <v>12.51</v>
      </c>
      <c r="I27" s="57"/>
      <c r="J27" s="56">
        <f t="shared" si="3"/>
        <v>0</v>
      </c>
      <c r="K27" s="57"/>
      <c r="L27" s="56">
        <f t="shared" si="4"/>
        <v>0</v>
      </c>
      <c r="M27" s="58">
        <f t="shared" si="5"/>
        <v>12.51</v>
      </c>
    </row>
    <row r="28" spans="1:13" s="1" customFormat="1" ht="30">
      <c r="A28" s="55">
        <v>3</v>
      </c>
      <c r="B28" s="119" t="s">
        <v>70</v>
      </c>
      <c r="C28" s="119" t="s">
        <v>65</v>
      </c>
      <c r="D28" s="56" t="s">
        <v>11</v>
      </c>
      <c r="E28" s="56"/>
      <c r="F28" s="120">
        <f>13.31</f>
        <v>13.31</v>
      </c>
      <c r="G28" s="57"/>
      <c r="H28" s="56">
        <f t="shared" si="0"/>
        <v>0</v>
      </c>
      <c r="I28" s="146">
        <f>'Unit Price Assumptions'!D18</f>
        <v>40.82</v>
      </c>
      <c r="J28" s="56">
        <f t="shared" si="3"/>
        <v>543.31</v>
      </c>
      <c r="K28" s="146">
        <f>K20</f>
        <v>4.08</v>
      </c>
      <c r="L28" s="56">
        <f t="shared" si="4"/>
        <v>54.3</v>
      </c>
      <c r="M28" s="58">
        <f t="shared" si="5"/>
        <v>597.61</v>
      </c>
    </row>
    <row r="29" spans="1:13" ht="15">
      <c r="A29" s="59"/>
      <c r="B29" s="60" t="s">
        <v>56</v>
      </c>
      <c r="C29" s="99" t="s">
        <v>61</v>
      </c>
      <c r="D29" s="61" t="s">
        <v>11</v>
      </c>
      <c r="E29" s="62">
        <v>1.015</v>
      </c>
      <c r="F29" s="56">
        <f>$F$28*E29</f>
        <v>13.51</v>
      </c>
      <c r="G29" s="146">
        <f aca="true" t="shared" si="7" ref="G29:G35">G21</f>
        <v>44.97</v>
      </c>
      <c r="H29" s="56">
        <f t="shared" si="0"/>
        <v>607.54</v>
      </c>
      <c r="I29" s="57"/>
      <c r="J29" s="56">
        <f t="shared" si="3"/>
        <v>0</v>
      </c>
      <c r="K29" s="57"/>
      <c r="L29" s="56">
        <f t="shared" si="4"/>
        <v>0</v>
      </c>
      <c r="M29" s="58">
        <f t="shared" si="5"/>
        <v>607.54</v>
      </c>
    </row>
    <row r="30" spans="1:13" ht="15">
      <c r="A30" s="59"/>
      <c r="B30" s="60" t="s">
        <v>29</v>
      </c>
      <c r="C30" s="99" t="s">
        <v>43</v>
      </c>
      <c r="D30" s="61" t="s">
        <v>15</v>
      </c>
      <c r="E30" s="62">
        <v>0.32</v>
      </c>
      <c r="F30" s="56">
        <f>$F$28*E30</f>
        <v>4.26</v>
      </c>
      <c r="G30" s="146">
        <f t="shared" si="7"/>
        <v>8.65</v>
      </c>
      <c r="H30" s="56">
        <f t="shared" si="0"/>
        <v>36.85</v>
      </c>
      <c r="I30" s="57"/>
      <c r="J30" s="56">
        <f t="shared" si="3"/>
        <v>0</v>
      </c>
      <c r="K30" s="57"/>
      <c r="L30" s="56">
        <f t="shared" si="4"/>
        <v>0</v>
      </c>
      <c r="M30" s="58">
        <f t="shared" si="5"/>
        <v>36.85</v>
      </c>
    </row>
    <row r="31" spans="1:13" ht="15">
      <c r="A31" s="59"/>
      <c r="B31" s="60" t="s">
        <v>37</v>
      </c>
      <c r="C31" s="60" t="s">
        <v>42</v>
      </c>
      <c r="D31" s="61" t="s">
        <v>11</v>
      </c>
      <c r="E31" s="117">
        <v>0.011</v>
      </c>
      <c r="F31" s="56">
        <f>$F$28*E31</f>
        <v>0.15</v>
      </c>
      <c r="G31" s="146">
        <f t="shared" si="7"/>
        <v>475.61</v>
      </c>
      <c r="H31" s="56">
        <f t="shared" si="0"/>
        <v>71.34</v>
      </c>
      <c r="I31" s="57"/>
      <c r="J31" s="56">
        <f t="shared" si="3"/>
        <v>0</v>
      </c>
      <c r="K31" s="57"/>
      <c r="L31" s="56">
        <f t="shared" si="4"/>
        <v>0</v>
      </c>
      <c r="M31" s="58">
        <f t="shared" si="5"/>
        <v>71.34</v>
      </c>
    </row>
    <row r="32" spans="1:13" ht="15">
      <c r="A32" s="59"/>
      <c r="B32" s="60" t="s">
        <v>30</v>
      </c>
      <c r="C32" s="99" t="s">
        <v>44</v>
      </c>
      <c r="D32" s="61" t="s">
        <v>12</v>
      </c>
      <c r="E32" s="62">
        <v>2.5</v>
      </c>
      <c r="F32" s="56">
        <f>$F$28*E32</f>
        <v>33.28</v>
      </c>
      <c r="G32" s="146">
        <f t="shared" si="7"/>
        <v>1.02</v>
      </c>
      <c r="H32" s="56">
        <f t="shared" si="0"/>
        <v>33.95</v>
      </c>
      <c r="I32" s="57"/>
      <c r="J32" s="56">
        <f t="shared" si="3"/>
        <v>0</v>
      </c>
      <c r="K32" s="57"/>
      <c r="L32" s="56">
        <f t="shared" si="4"/>
        <v>0</v>
      </c>
      <c r="M32" s="58">
        <f t="shared" si="5"/>
        <v>33.95</v>
      </c>
    </row>
    <row r="33" spans="1:13" ht="15">
      <c r="A33" s="59"/>
      <c r="B33" s="60" t="s">
        <v>38</v>
      </c>
      <c r="C33" s="99" t="s">
        <v>47</v>
      </c>
      <c r="D33" s="61" t="s">
        <v>35</v>
      </c>
      <c r="E33" s="62">
        <v>1.03</v>
      </c>
      <c r="F33" s="56">
        <f>((44.28+15.29+14.93+5.69+4.8)/1000)*E33</f>
        <v>0.09</v>
      </c>
      <c r="G33" s="146">
        <f t="shared" si="7"/>
        <v>0</v>
      </c>
      <c r="H33" s="56">
        <f t="shared" si="0"/>
        <v>0</v>
      </c>
      <c r="I33" s="146">
        <f>I25</f>
        <v>0</v>
      </c>
      <c r="J33" s="56">
        <f t="shared" si="3"/>
        <v>0</v>
      </c>
      <c r="K33" s="57"/>
      <c r="L33" s="56">
        <f t="shared" si="4"/>
        <v>0</v>
      </c>
      <c r="M33" s="58">
        <f t="shared" si="5"/>
        <v>0</v>
      </c>
    </row>
    <row r="34" spans="1:13" ht="15">
      <c r="A34" s="59"/>
      <c r="B34" s="60" t="s">
        <v>39</v>
      </c>
      <c r="C34" s="99" t="s">
        <v>45</v>
      </c>
      <c r="D34" s="61" t="s">
        <v>35</v>
      </c>
      <c r="E34" s="62">
        <v>1.03</v>
      </c>
      <c r="F34" s="56">
        <f>((404.39+391.06+746.47+317.98+37.92+42.31)/1000)*E34</f>
        <v>2</v>
      </c>
      <c r="G34" s="146">
        <f t="shared" si="7"/>
        <v>0</v>
      </c>
      <c r="H34" s="56">
        <f t="shared" si="0"/>
        <v>0</v>
      </c>
      <c r="I34" s="146">
        <f>I26</f>
        <v>0</v>
      </c>
      <c r="J34" s="56">
        <f t="shared" si="3"/>
        <v>0</v>
      </c>
      <c r="K34" s="57"/>
      <c r="L34" s="56">
        <f t="shared" si="4"/>
        <v>0</v>
      </c>
      <c r="M34" s="58">
        <f t="shared" si="5"/>
        <v>0</v>
      </c>
    </row>
    <row r="35" spans="1:13" ht="15">
      <c r="A35" s="100"/>
      <c r="B35" s="60" t="s">
        <v>28</v>
      </c>
      <c r="C35" s="99" t="s">
        <v>46</v>
      </c>
      <c r="D35" s="61"/>
      <c r="E35" s="57">
        <v>0.13</v>
      </c>
      <c r="F35" s="56">
        <f>$F$28*E35</f>
        <v>1.73</v>
      </c>
      <c r="G35" s="146">
        <f t="shared" si="7"/>
        <v>2.04</v>
      </c>
      <c r="H35" s="56">
        <f t="shared" si="0"/>
        <v>3.53</v>
      </c>
      <c r="I35" s="57"/>
      <c r="J35" s="56">
        <f t="shared" si="3"/>
        <v>0</v>
      </c>
      <c r="K35" s="57"/>
      <c r="L35" s="56">
        <f t="shared" si="4"/>
        <v>0</v>
      </c>
      <c r="M35" s="58">
        <f t="shared" si="5"/>
        <v>3.53</v>
      </c>
    </row>
    <row r="36" spans="1:13" s="1" customFormat="1" ht="30">
      <c r="A36" s="55">
        <v>4</v>
      </c>
      <c r="B36" s="119" t="s">
        <v>36</v>
      </c>
      <c r="C36" s="119" t="s">
        <v>64</v>
      </c>
      <c r="D36" s="56" t="s">
        <v>11</v>
      </c>
      <c r="E36" s="56"/>
      <c r="F36" s="120">
        <v>6.6</v>
      </c>
      <c r="G36" s="57"/>
      <c r="H36" s="56">
        <f t="shared" si="0"/>
        <v>0</v>
      </c>
      <c r="I36" s="146">
        <f>'Unit Price Assumptions'!D20</f>
        <v>40.82</v>
      </c>
      <c r="J36" s="56">
        <f t="shared" si="3"/>
        <v>269.41</v>
      </c>
      <c r="K36" s="146">
        <f>K28</f>
        <v>4.08</v>
      </c>
      <c r="L36" s="56">
        <f t="shared" si="4"/>
        <v>26.93</v>
      </c>
      <c r="M36" s="58">
        <f t="shared" si="5"/>
        <v>296.34</v>
      </c>
    </row>
    <row r="37" spans="1:13" ht="15">
      <c r="A37" s="59"/>
      <c r="B37" s="60" t="s">
        <v>56</v>
      </c>
      <c r="C37" s="99" t="s">
        <v>61</v>
      </c>
      <c r="D37" s="61" t="s">
        <v>11</v>
      </c>
      <c r="E37" s="62">
        <v>1.015</v>
      </c>
      <c r="F37" s="56">
        <f>$F$36*E37</f>
        <v>6.7</v>
      </c>
      <c r="G37" s="146">
        <f>G29</f>
        <v>44.97</v>
      </c>
      <c r="H37" s="56">
        <f t="shared" si="0"/>
        <v>301.3</v>
      </c>
      <c r="I37" s="57"/>
      <c r="J37" s="56">
        <f t="shared" si="3"/>
        <v>0</v>
      </c>
      <c r="K37" s="57"/>
      <c r="L37" s="56">
        <f t="shared" si="4"/>
        <v>0</v>
      </c>
      <c r="M37" s="58">
        <f t="shared" si="5"/>
        <v>301.3</v>
      </c>
    </row>
    <row r="38" spans="1:13" ht="15">
      <c r="A38" s="59"/>
      <c r="B38" s="60" t="s">
        <v>29</v>
      </c>
      <c r="C38" s="99" t="s">
        <v>43</v>
      </c>
      <c r="D38" s="61" t="s">
        <v>15</v>
      </c>
      <c r="E38" s="62">
        <v>0.58</v>
      </c>
      <c r="F38" s="56">
        <f>$F$36*E38</f>
        <v>3.83</v>
      </c>
      <c r="G38" s="146">
        <f>G30</f>
        <v>8.65</v>
      </c>
      <c r="H38" s="56">
        <f t="shared" si="0"/>
        <v>33.13</v>
      </c>
      <c r="I38" s="57"/>
      <c r="J38" s="56">
        <f t="shared" si="3"/>
        <v>0</v>
      </c>
      <c r="K38" s="57"/>
      <c r="L38" s="56">
        <f t="shared" si="4"/>
        <v>0</v>
      </c>
      <c r="M38" s="58">
        <f t="shared" si="5"/>
        <v>33.13</v>
      </c>
    </row>
    <row r="39" spans="1:13" ht="15">
      <c r="A39" s="59"/>
      <c r="B39" s="60" t="s">
        <v>34</v>
      </c>
      <c r="C39" s="99" t="s">
        <v>48</v>
      </c>
      <c r="D39" s="61" t="s">
        <v>11</v>
      </c>
      <c r="E39" s="62">
        <v>0.02</v>
      </c>
      <c r="F39" s="56">
        <f>$F$36*E39</f>
        <v>0.13</v>
      </c>
      <c r="G39" s="146">
        <f>'Unit Price Assumptions'!C14</f>
        <v>224.84</v>
      </c>
      <c r="H39" s="56">
        <f t="shared" si="0"/>
        <v>29.23</v>
      </c>
      <c r="I39" s="57"/>
      <c r="J39" s="56">
        <f t="shared" si="3"/>
        <v>0</v>
      </c>
      <c r="K39" s="57"/>
      <c r="L39" s="56">
        <f t="shared" si="4"/>
        <v>0</v>
      </c>
      <c r="M39" s="58">
        <f t="shared" si="5"/>
        <v>29.23</v>
      </c>
    </row>
    <row r="40" spans="1:13" ht="15">
      <c r="A40" s="59"/>
      <c r="B40" s="60" t="s">
        <v>30</v>
      </c>
      <c r="C40" s="99" t="s">
        <v>44</v>
      </c>
      <c r="D40" s="61" t="s">
        <v>12</v>
      </c>
      <c r="E40" s="62">
        <v>2.5</v>
      </c>
      <c r="F40" s="56">
        <f>$F$36*E40</f>
        <v>16.5</v>
      </c>
      <c r="G40" s="146">
        <f>G32</f>
        <v>1.02</v>
      </c>
      <c r="H40" s="56">
        <f t="shared" si="0"/>
        <v>16.83</v>
      </c>
      <c r="I40" s="57"/>
      <c r="J40" s="56">
        <f t="shared" si="3"/>
        <v>0</v>
      </c>
      <c r="K40" s="57"/>
      <c r="L40" s="56">
        <f t="shared" si="4"/>
        <v>0</v>
      </c>
      <c r="M40" s="58">
        <f t="shared" si="5"/>
        <v>16.83</v>
      </c>
    </row>
    <row r="41" spans="1:13" ht="15">
      <c r="A41" s="59"/>
      <c r="B41" s="60" t="s">
        <v>38</v>
      </c>
      <c r="C41" s="99" t="s">
        <v>47</v>
      </c>
      <c r="D41" s="61" t="s">
        <v>35</v>
      </c>
      <c r="E41" s="62">
        <v>1.03</v>
      </c>
      <c r="F41" s="56">
        <f>0.02*E41</f>
        <v>0.02</v>
      </c>
      <c r="G41" s="146">
        <f>G33</f>
        <v>0</v>
      </c>
      <c r="H41" s="56">
        <f t="shared" si="0"/>
        <v>0</v>
      </c>
      <c r="I41" s="146">
        <f>I33</f>
        <v>0</v>
      </c>
      <c r="J41" s="56">
        <f t="shared" si="3"/>
        <v>0</v>
      </c>
      <c r="K41" s="57"/>
      <c r="L41" s="56">
        <f t="shared" si="4"/>
        <v>0</v>
      </c>
      <c r="M41" s="58">
        <f t="shared" si="5"/>
        <v>0</v>
      </c>
    </row>
    <row r="42" spans="1:13" ht="15">
      <c r="A42" s="59"/>
      <c r="B42" s="60" t="s">
        <v>39</v>
      </c>
      <c r="C42" s="99" t="s">
        <v>45</v>
      </c>
      <c r="D42" s="61" t="s">
        <v>35</v>
      </c>
      <c r="E42" s="62">
        <v>1.03</v>
      </c>
      <c r="F42" s="56">
        <f>0.56*E42</f>
        <v>0.58</v>
      </c>
      <c r="G42" s="146">
        <f>G34</f>
        <v>0</v>
      </c>
      <c r="H42" s="56">
        <f t="shared" si="0"/>
        <v>0</v>
      </c>
      <c r="I42" s="146">
        <f>I33</f>
        <v>0</v>
      </c>
      <c r="J42" s="56">
        <f t="shared" si="3"/>
        <v>0</v>
      </c>
      <c r="K42" s="57"/>
      <c r="L42" s="56">
        <f t="shared" si="4"/>
        <v>0</v>
      </c>
      <c r="M42" s="58">
        <f t="shared" si="5"/>
        <v>0</v>
      </c>
    </row>
    <row r="43" spans="1:13" ht="15.75" thickBot="1">
      <c r="A43" s="100"/>
      <c r="B43" s="60" t="s">
        <v>28</v>
      </c>
      <c r="C43" s="99" t="s">
        <v>46</v>
      </c>
      <c r="D43" s="61"/>
      <c r="E43" s="57">
        <v>0.39</v>
      </c>
      <c r="F43" s="56">
        <f>$F$36*E43</f>
        <v>2.57</v>
      </c>
      <c r="G43" s="146">
        <f>G35</f>
        <v>2.04</v>
      </c>
      <c r="H43" s="56">
        <f t="shared" si="0"/>
        <v>5.24</v>
      </c>
      <c r="I43" s="57"/>
      <c r="J43" s="56">
        <f t="shared" si="3"/>
        <v>0</v>
      </c>
      <c r="K43" s="57"/>
      <c r="L43" s="56">
        <f t="shared" si="4"/>
        <v>0</v>
      </c>
      <c r="M43" s="58">
        <f t="shared" si="5"/>
        <v>5.24</v>
      </c>
    </row>
    <row r="44" spans="2:14" ht="15.75" thickBot="1">
      <c r="B44" s="42"/>
      <c r="C44" s="42"/>
      <c r="D44" s="63"/>
      <c r="E44" s="42"/>
      <c r="F44" s="101"/>
      <c r="G44" s="40"/>
      <c r="H44" s="66">
        <f>SUM(H12:H43)</f>
        <v>16501.41</v>
      </c>
      <c r="I44" s="67"/>
      <c r="J44" s="68">
        <f>SUM(J12:J43)</f>
        <v>11873.71</v>
      </c>
      <c r="K44" s="67"/>
      <c r="L44" s="68">
        <f>SUM(L12:L43)</f>
        <v>1186.79</v>
      </c>
      <c r="M44" s="68">
        <f>SUM(M12:M43)</f>
        <v>29561.91</v>
      </c>
      <c r="N44" s="7"/>
    </row>
    <row r="45" spans="1:14" s="2" customFormat="1" ht="15" customHeight="1">
      <c r="A45" s="39"/>
      <c r="B45" s="39"/>
      <c r="C45" s="39"/>
      <c r="D45" s="39"/>
      <c r="E45" s="39"/>
      <c r="F45" s="70"/>
      <c r="G45" s="71"/>
      <c r="H45" s="223" t="s">
        <v>26</v>
      </c>
      <c r="I45" s="224"/>
      <c r="J45" s="72"/>
      <c r="K45" s="82">
        <f>'-10.430'!$K$20</f>
        <v>0.08</v>
      </c>
      <c r="L45" s="72"/>
      <c r="M45" s="74">
        <f>M44*K45</f>
        <v>2364.95</v>
      </c>
      <c r="N45" s="5"/>
    </row>
    <row r="46" spans="1:14" s="2" customFormat="1" ht="15" customHeight="1" thickBot="1">
      <c r="A46" s="39"/>
      <c r="B46" s="39"/>
      <c r="C46" s="39"/>
      <c r="D46" s="75"/>
      <c r="E46" s="76"/>
      <c r="F46" s="70"/>
      <c r="G46" s="70"/>
      <c r="H46" s="225" t="s">
        <v>27</v>
      </c>
      <c r="I46" s="226"/>
      <c r="J46" s="77"/>
      <c r="K46" s="78" t="str">
        <f>K48</f>
        <v>USD</v>
      </c>
      <c r="L46" s="77"/>
      <c r="M46" s="79">
        <f>M44+M45</f>
        <v>31926.86</v>
      </c>
      <c r="N46" s="5"/>
    </row>
    <row r="47" spans="1:14" s="2" customFormat="1" ht="15">
      <c r="A47" s="39"/>
      <c r="B47" s="39"/>
      <c r="C47" s="39"/>
      <c r="D47" s="75"/>
      <c r="E47" s="76"/>
      <c r="F47" s="70"/>
      <c r="G47" s="71"/>
      <c r="H47" s="223" t="s">
        <v>66</v>
      </c>
      <c r="I47" s="224"/>
      <c r="J47" s="72"/>
      <c r="K47" s="82">
        <f>'-10.430'!$K$22</f>
        <v>0.08</v>
      </c>
      <c r="L47" s="72"/>
      <c r="M47" s="74">
        <f>M46*K47</f>
        <v>2554.15</v>
      </c>
      <c r="N47" s="5"/>
    </row>
    <row r="48" spans="1:14" s="2" customFormat="1" ht="15.75" thickBot="1">
      <c r="A48" s="39"/>
      <c r="B48" s="39"/>
      <c r="C48" s="39"/>
      <c r="D48" s="75"/>
      <c r="E48" s="76"/>
      <c r="F48" s="80"/>
      <c r="G48" s="71"/>
      <c r="H48" s="225" t="s">
        <v>27</v>
      </c>
      <c r="I48" s="226"/>
      <c r="J48" s="77"/>
      <c r="K48" s="81" t="s">
        <v>19</v>
      </c>
      <c r="L48" s="77"/>
      <c r="M48" s="79">
        <f>M46+M47</f>
        <v>34481.01</v>
      </c>
      <c r="N48" s="5"/>
    </row>
    <row r="49" spans="1:14" s="2" customFormat="1" ht="15">
      <c r="A49" s="39"/>
      <c r="B49" s="39"/>
      <c r="C49" s="39"/>
      <c r="D49" s="39"/>
      <c r="E49" s="39"/>
      <c r="F49" s="39"/>
      <c r="G49" s="71"/>
      <c r="H49" s="219" t="s">
        <v>33</v>
      </c>
      <c r="I49" s="220"/>
      <c r="J49" s="72"/>
      <c r="K49" s="82">
        <v>0.18</v>
      </c>
      <c r="L49" s="72"/>
      <c r="M49" s="74">
        <f>M48*K49</f>
        <v>6206.58</v>
      </c>
      <c r="N49" s="5"/>
    </row>
    <row r="50" spans="1:14" s="2" customFormat="1" ht="15.75" thickBot="1">
      <c r="A50" s="39"/>
      <c r="B50" s="39"/>
      <c r="C50" s="39"/>
      <c r="D50" s="39"/>
      <c r="E50" s="39"/>
      <c r="F50" s="39"/>
      <c r="G50" s="71"/>
      <c r="H50" s="221" t="s">
        <v>25</v>
      </c>
      <c r="I50" s="222"/>
      <c r="J50" s="77"/>
      <c r="K50" s="83" t="s">
        <v>19</v>
      </c>
      <c r="L50" s="77"/>
      <c r="M50" s="79">
        <f>M48+M49</f>
        <v>40687.59</v>
      </c>
      <c r="N50" s="5"/>
    </row>
  </sheetData>
  <mergeCells count="20">
    <mergeCell ref="K2:M2"/>
    <mergeCell ref="D3:I3"/>
    <mergeCell ref="D4:I4"/>
    <mergeCell ref="I9:J9"/>
    <mergeCell ref="K9:L9"/>
    <mergeCell ref="M9:M10"/>
    <mergeCell ref="D5:I5"/>
    <mergeCell ref="C9:C10"/>
    <mergeCell ref="H50:I50"/>
    <mergeCell ref="A9:A10"/>
    <mergeCell ref="B9:B10"/>
    <mergeCell ref="D9:D10"/>
    <mergeCell ref="E9:F9"/>
    <mergeCell ref="G9:H9"/>
    <mergeCell ref="B11:C11"/>
    <mergeCell ref="H45:I45"/>
    <mergeCell ref="H46:I46"/>
    <mergeCell ref="H47:I47"/>
    <mergeCell ref="H48:I48"/>
    <mergeCell ref="H49:I49"/>
  </mergeCells>
  <printOptions/>
  <pageMargins left="0.45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2018-02-21T12:02:51Z</dcterms:modified>
  <cp:category/>
  <cp:version/>
  <cp:contentType/>
  <cp:contentStatus/>
</cp:coreProperties>
</file>