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 hidePivotFieldList="1" autoCompressPictures="0" defaultThemeVersion="124226"/>
  <bookViews>
    <workbookView xWindow="0" yWindow="0" windowWidth="25600" windowHeight="10233" tabRatio="948"/>
  </bookViews>
  <sheets>
    <sheet name="TOTAL" sheetId="87" r:id="rId1"/>
    <sheet name="Unit Price Assumptions" sheetId="31" r:id="rId2"/>
    <sheet name="Site Preparation Works" sheetId="88" r:id="rId3"/>
    <sheet name="-13.730" sheetId="57" r:id="rId4"/>
    <sheet name="-10.430" sheetId="29" r:id="rId5"/>
    <sheet name="-7.130" sheetId="3" r:id="rId6"/>
    <sheet name="-3.230" sheetId="8" r:id="rId7"/>
    <sheet name="+0.370" sheetId="7" r:id="rId8"/>
    <sheet name="+3.970" sheetId="9" r:id="rId9"/>
    <sheet name="+7.570" sheetId="58" r:id="rId10"/>
    <sheet name="+10.870" sheetId="32" r:id="rId11"/>
    <sheet name="+13.770" sheetId="33" r:id="rId12"/>
  </sheets>
  <externalReferences>
    <externalReference r:id="rId13"/>
  </externalReferences>
  <definedNames>
    <definedName name="_xlnm._FilterDatabase" localSheetId="11" hidden="1">'+13.770'!$A$1:$A$1</definedName>
    <definedName name="_xlnm._FilterDatabase" localSheetId="5" hidden="1">'-7.130'!$A$2:$A$2</definedName>
    <definedName name="_xlnm.Print_Area" localSheetId="7">'+0.370'!$A$1:$M$43</definedName>
    <definedName name="_xlnm.Print_Area" localSheetId="11">'+13.770'!$A$1:$M$19</definedName>
    <definedName name="_xlnm.Print_Area" localSheetId="8">'+3.970'!$A$1:$M$44</definedName>
    <definedName name="_xlnm.Print_Area" localSheetId="5">'-7.130'!$A$2:$M$20</definedName>
    <definedName name="_xlnm.Print_Titles" localSheetId="10">'+10.870'!$14:$14</definedName>
    <definedName name="_xlnm.Print_Titles" localSheetId="9">'+7.570'!$9:$9</definedName>
    <definedName name="_xlnm.Print_Titles" localSheetId="4">'-10.430'!$10:$10</definedName>
    <definedName name="_xlnm.Print_Titles" localSheetId="3">'-13.730'!$10:$10</definedName>
  </definedNames>
  <calcPr calcId="162913" fullPrecision="0" concurrentCalc="0"/>
</workbook>
</file>

<file path=xl/calcChain.xml><?xml version="1.0" encoding="utf-8"?>
<calcChain xmlns="http://schemas.openxmlformats.org/spreadsheetml/2006/main">
  <c r="C13" i="31" l="1"/>
  <c r="E16" i="88"/>
  <c r="E15" i="88"/>
  <c r="E14" i="88"/>
  <c r="E13" i="88"/>
  <c r="E12" i="88"/>
  <c r="E11" i="88"/>
  <c r="E10" i="88"/>
  <c r="E9" i="88"/>
  <c r="E8" i="88"/>
  <c r="C16" i="31"/>
  <c r="D19" i="31"/>
  <c r="D18" i="31"/>
  <c r="D17" i="31"/>
  <c r="D21" i="31"/>
  <c r="D22" i="31"/>
  <c r="D20" i="31"/>
  <c r="C9" i="31"/>
  <c r="C8" i="31"/>
  <c r="C7" i="31"/>
  <c r="C15" i="31"/>
  <c r="C14" i="31"/>
  <c r="C12" i="31"/>
  <c r="I15" i="32"/>
  <c r="G14" i="57"/>
  <c r="H14" i="57"/>
  <c r="M14" i="57"/>
  <c r="G15" i="57"/>
  <c r="H15" i="57"/>
  <c r="M15" i="57"/>
  <c r="G16" i="57"/>
  <c r="H16" i="57"/>
  <c r="M16" i="57"/>
  <c r="G19" i="57"/>
  <c r="H19" i="57"/>
  <c r="M19" i="57"/>
  <c r="I11" i="57"/>
  <c r="J11" i="57"/>
  <c r="M11" i="57"/>
  <c r="G13" i="57"/>
  <c r="H13" i="57"/>
  <c r="M13" i="57"/>
  <c r="G12" i="57"/>
  <c r="H12" i="57"/>
  <c r="M12" i="57"/>
  <c r="M20" i="57"/>
  <c r="M21" i="57"/>
  <c r="M22" i="57"/>
  <c r="M23" i="57"/>
  <c r="M24" i="57"/>
  <c r="M25" i="57"/>
  <c r="M26" i="57"/>
  <c r="K5" i="57"/>
  <c r="D9" i="87"/>
  <c r="G13" i="29"/>
  <c r="H13" i="29"/>
  <c r="M13" i="29"/>
  <c r="G14" i="29"/>
  <c r="H14" i="29"/>
  <c r="M14" i="29"/>
  <c r="G15" i="29"/>
  <c r="H15" i="29"/>
  <c r="M15" i="29"/>
  <c r="G18" i="29"/>
  <c r="H18" i="29"/>
  <c r="M18" i="29"/>
  <c r="I11" i="29"/>
  <c r="J11" i="29"/>
  <c r="M11" i="29"/>
  <c r="G12" i="29"/>
  <c r="H12" i="29"/>
  <c r="M12" i="29"/>
  <c r="M19" i="29"/>
  <c r="M20" i="29"/>
  <c r="M21" i="29"/>
  <c r="M22" i="29"/>
  <c r="M23" i="29"/>
  <c r="M24" i="29"/>
  <c r="M25" i="29"/>
  <c r="K5" i="29"/>
  <c r="D10" i="87"/>
  <c r="G14" i="3"/>
  <c r="H14" i="3"/>
  <c r="M14" i="3"/>
  <c r="G15" i="3"/>
  <c r="H15" i="3"/>
  <c r="M15" i="3"/>
  <c r="G16" i="3"/>
  <c r="H16" i="3"/>
  <c r="M16" i="3"/>
  <c r="G19" i="3"/>
  <c r="H19" i="3"/>
  <c r="M19" i="3"/>
  <c r="I12" i="3"/>
  <c r="J12" i="3"/>
  <c r="M12" i="3"/>
  <c r="G13" i="3"/>
  <c r="H13" i="3"/>
  <c r="M13" i="3"/>
  <c r="M20" i="3"/>
  <c r="M21" i="3"/>
  <c r="M22" i="3"/>
  <c r="M23" i="3"/>
  <c r="M24" i="3"/>
  <c r="M25" i="3"/>
  <c r="M26" i="3"/>
  <c r="K5" i="3"/>
  <c r="D11" i="87"/>
  <c r="G13" i="8"/>
  <c r="H13" i="8"/>
  <c r="M13" i="8"/>
  <c r="G21" i="8"/>
  <c r="H21" i="8"/>
  <c r="M21" i="8"/>
  <c r="G29" i="8"/>
  <c r="H29" i="8"/>
  <c r="M29" i="8"/>
  <c r="G14" i="8"/>
  <c r="H14" i="8"/>
  <c r="M14" i="8"/>
  <c r="G22" i="8"/>
  <c r="H22" i="8"/>
  <c r="M22" i="8"/>
  <c r="G30" i="8"/>
  <c r="H30" i="8"/>
  <c r="M30" i="8"/>
  <c r="G15" i="7"/>
  <c r="G23" i="7"/>
  <c r="G15" i="8"/>
  <c r="H15" i="8"/>
  <c r="M15" i="8"/>
  <c r="G23" i="8"/>
  <c r="H23" i="8"/>
  <c r="M23" i="8"/>
  <c r="G31" i="8"/>
  <c r="H31" i="8"/>
  <c r="M31" i="8"/>
  <c r="G18" i="8"/>
  <c r="H18" i="8"/>
  <c r="M18" i="8"/>
  <c r="G26" i="8"/>
  <c r="H26" i="8"/>
  <c r="M26" i="8"/>
  <c r="G34" i="8"/>
  <c r="H34" i="8"/>
  <c r="M34" i="8"/>
  <c r="I11" i="8"/>
  <c r="J11" i="8"/>
  <c r="M11" i="8"/>
  <c r="I19" i="8"/>
  <c r="J19" i="8"/>
  <c r="M19" i="8"/>
  <c r="I27" i="8"/>
  <c r="J27" i="8"/>
  <c r="M27" i="8"/>
  <c r="G12" i="8"/>
  <c r="H12" i="8"/>
  <c r="M12" i="8"/>
  <c r="G20" i="8"/>
  <c r="H20" i="8"/>
  <c r="M20" i="8"/>
  <c r="G28" i="8"/>
  <c r="H28" i="8"/>
  <c r="M28" i="8"/>
  <c r="M35" i="8"/>
  <c r="M36" i="8"/>
  <c r="M37" i="8"/>
  <c r="M38" i="8"/>
  <c r="M39" i="8"/>
  <c r="M40" i="8"/>
  <c r="M41" i="8"/>
  <c r="K4" i="8"/>
  <c r="D12" i="87"/>
  <c r="G13" i="7"/>
  <c r="H13" i="7"/>
  <c r="M13" i="7"/>
  <c r="G21" i="7"/>
  <c r="H21" i="7"/>
  <c r="M21" i="7"/>
  <c r="G29" i="7"/>
  <c r="H29" i="7"/>
  <c r="M29" i="7"/>
  <c r="G37" i="7"/>
  <c r="H37" i="7"/>
  <c r="M37" i="7"/>
  <c r="G14" i="7"/>
  <c r="H14" i="7"/>
  <c r="M14" i="7"/>
  <c r="G22" i="7"/>
  <c r="H22" i="7"/>
  <c r="M22" i="7"/>
  <c r="G30" i="7"/>
  <c r="H30" i="7"/>
  <c r="M30" i="7"/>
  <c r="G38" i="7"/>
  <c r="H38" i="7"/>
  <c r="M38" i="7"/>
  <c r="H15" i="7"/>
  <c r="M15" i="7"/>
  <c r="H23" i="7"/>
  <c r="M23" i="7"/>
  <c r="G31" i="7"/>
  <c r="H31" i="7"/>
  <c r="M31" i="7"/>
  <c r="G39" i="7"/>
  <c r="H39" i="7"/>
  <c r="M39" i="7"/>
  <c r="G18" i="7"/>
  <c r="H18" i="7"/>
  <c r="M18" i="7"/>
  <c r="G26" i="7"/>
  <c r="H26" i="7"/>
  <c r="M26" i="7"/>
  <c r="G34" i="7"/>
  <c r="H34" i="7"/>
  <c r="M34" i="7"/>
  <c r="G42" i="7"/>
  <c r="H42" i="7"/>
  <c r="M42" i="7"/>
  <c r="I19" i="7"/>
  <c r="J19" i="7"/>
  <c r="M19" i="7"/>
  <c r="I27" i="7"/>
  <c r="J27" i="7"/>
  <c r="M27" i="7"/>
  <c r="I11" i="7"/>
  <c r="J11" i="7"/>
  <c r="M11" i="7"/>
  <c r="I35" i="7"/>
  <c r="J35" i="7"/>
  <c r="M35" i="7"/>
  <c r="G12" i="7"/>
  <c r="H12" i="7"/>
  <c r="M12" i="7"/>
  <c r="G20" i="7"/>
  <c r="H20" i="7"/>
  <c r="M20" i="7"/>
  <c r="G28" i="7"/>
  <c r="H28" i="7"/>
  <c r="M28" i="7"/>
  <c r="G36" i="7"/>
  <c r="H36" i="7"/>
  <c r="M36" i="7"/>
  <c r="M43" i="7"/>
  <c r="M44" i="7"/>
  <c r="M45" i="7"/>
  <c r="M46" i="7"/>
  <c r="M47" i="7"/>
  <c r="M48" i="7"/>
  <c r="M49" i="7"/>
  <c r="K4" i="7"/>
  <c r="D13" i="87"/>
  <c r="G14" i="9"/>
  <c r="H14" i="9"/>
  <c r="M14" i="9"/>
  <c r="G22" i="9"/>
  <c r="H22" i="9"/>
  <c r="M22" i="9"/>
  <c r="G30" i="9"/>
  <c r="H30" i="9"/>
  <c r="M30" i="9"/>
  <c r="G38" i="9"/>
  <c r="H38" i="9"/>
  <c r="M38" i="9"/>
  <c r="G15" i="9"/>
  <c r="H15" i="9"/>
  <c r="M15" i="9"/>
  <c r="G23" i="9"/>
  <c r="H23" i="9"/>
  <c r="M23" i="9"/>
  <c r="G31" i="9"/>
  <c r="H31" i="9"/>
  <c r="M31" i="9"/>
  <c r="G39" i="9"/>
  <c r="H39" i="9"/>
  <c r="M39" i="9"/>
  <c r="G16" i="9"/>
  <c r="H16" i="9"/>
  <c r="M16" i="9"/>
  <c r="G24" i="9"/>
  <c r="H24" i="9"/>
  <c r="M24" i="9"/>
  <c r="G32" i="9"/>
  <c r="H32" i="9"/>
  <c r="M32" i="9"/>
  <c r="G40" i="9"/>
  <c r="H40" i="9"/>
  <c r="M40" i="9"/>
  <c r="G19" i="9"/>
  <c r="H19" i="9"/>
  <c r="M19" i="9"/>
  <c r="G27" i="9"/>
  <c r="H27" i="9"/>
  <c r="M27" i="9"/>
  <c r="G35" i="9"/>
  <c r="H35" i="9"/>
  <c r="M35" i="9"/>
  <c r="G43" i="9"/>
  <c r="H43" i="9"/>
  <c r="M43" i="9"/>
  <c r="I20" i="9"/>
  <c r="J20" i="9"/>
  <c r="M20" i="9"/>
  <c r="I28" i="9"/>
  <c r="J28" i="9"/>
  <c r="M28" i="9"/>
  <c r="I12" i="9"/>
  <c r="J12" i="9"/>
  <c r="M12" i="9"/>
  <c r="I36" i="9"/>
  <c r="J36" i="9"/>
  <c r="M36" i="9"/>
  <c r="G13" i="9"/>
  <c r="H13" i="9"/>
  <c r="M13" i="9"/>
  <c r="G21" i="9"/>
  <c r="H21" i="9"/>
  <c r="M21" i="9"/>
  <c r="G29" i="9"/>
  <c r="H29" i="9"/>
  <c r="M29" i="9"/>
  <c r="G37" i="9"/>
  <c r="H37" i="9"/>
  <c r="M37" i="9"/>
  <c r="M44" i="9"/>
  <c r="M45" i="9"/>
  <c r="M46" i="9"/>
  <c r="M47" i="9"/>
  <c r="M48" i="9"/>
  <c r="M49" i="9"/>
  <c r="M50" i="9"/>
  <c r="K4" i="9"/>
  <c r="D14" i="87"/>
  <c r="G12" i="58"/>
  <c r="H12" i="58"/>
  <c r="M12" i="58"/>
  <c r="G20" i="58"/>
  <c r="H20" i="58"/>
  <c r="M20" i="58"/>
  <c r="G28" i="58"/>
  <c r="H28" i="58"/>
  <c r="M28" i="58"/>
  <c r="G36" i="58"/>
  <c r="H36" i="58"/>
  <c r="M36" i="58"/>
  <c r="G13" i="58"/>
  <c r="H13" i="58"/>
  <c r="M13" i="58"/>
  <c r="G21" i="58"/>
  <c r="H21" i="58"/>
  <c r="M21" i="58"/>
  <c r="G29" i="58"/>
  <c r="H29" i="58"/>
  <c r="M29" i="58"/>
  <c r="G37" i="58"/>
  <c r="H37" i="58"/>
  <c r="M37" i="58"/>
  <c r="G14" i="58"/>
  <c r="H14" i="58"/>
  <c r="M14" i="58"/>
  <c r="G22" i="58"/>
  <c r="H22" i="58"/>
  <c r="M22" i="58"/>
  <c r="G30" i="58"/>
  <c r="H30" i="58"/>
  <c r="M30" i="58"/>
  <c r="G38" i="58"/>
  <c r="H38" i="58"/>
  <c r="M38" i="58"/>
  <c r="G17" i="58"/>
  <c r="H17" i="58"/>
  <c r="M17" i="58"/>
  <c r="G25" i="58"/>
  <c r="H25" i="58"/>
  <c r="M25" i="58"/>
  <c r="G33" i="58"/>
  <c r="H33" i="58"/>
  <c r="M33" i="58"/>
  <c r="G41" i="58"/>
  <c r="H41" i="58"/>
  <c r="M41" i="58"/>
  <c r="I18" i="58"/>
  <c r="J18" i="58"/>
  <c r="M18" i="58"/>
  <c r="I26" i="58"/>
  <c r="J26" i="58"/>
  <c r="M26" i="58"/>
  <c r="I10" i="58"/>
  <c r="J10" i="58"/>
  <c r="M10" i="58"/>
  <c r="I34" i="58"/>
  <c r="J34" i="58"/>
  <c r="M34" i="58"/>
  <c r="G11" i="58"/>
  <c r="H11" i="58"/>
  <c r="M11" i="58"/>
  <c r="G19" i="58"/>
  <c r="H19" i="58"/>
  <c r="M19" i="58"/>
  <c r="G27" i="58"/>
  <c r="H27" i="58"/>
  <c r="M27" i="58"/>
  <c r="G35" i="58"/>
  <c r="H35" i="58"/>
  <c r="M35" i="58"/>
  <c r="M42" i="58"/>
  <c r="M43" i="58"/>
  <c r="M44" i="58"/>
  <c r="M45" i="58"/>
  <c r="M46" i="58"/>
  <c r="M47" i="58"/>
  <c r="M48" i="58"/>
  <c r="K4" i="58"/>
  <c r="D15" i="87"/>
  <c r="G17" i="32"/>
  <c r="H17" i="32"/>
  <c r="M17" i="32"/>
  <c r="G25" i="32"/>
  <c r="H25" i="32"/>
  <c r="M25" i="32"/>
  <c r="G18" i="32"/>
  <c r="H18" i="32"/>
  <c r="M18" i="32"/>
  <c r="G26" i="32"/>
  <c r="H26" i="32"/>
  <c r="M26" i="32"/>
  <c r="G19" i="32"/>
  <c r="H19" i="32"/>
  <c r="M19" i="32"/>
  <c r="G27" i="32"/>
  <c r="H27" i="32"/>
  <c r="M27" i="32"/>
  <c r="G22" i="32"/>
  <c r="H22" i="32"/>
  <c r="M22" i="32"/>
  <c r="G30" i="32"/>
  <c r="H30" i="32"/>
  <c r="M30" i="32"/>
  <c r="I23" i="32"/>
  <c r="J23" i="32"/>
  <c r="M23" i="32"/>
  <c r="J15" i="32"/>
  <c r="M15" i="32"/>
  <c r="G16" i="32"/>
  <c r="H16" i="32"/>
  <c r="M16" i="32"/>
  <c r="G24" i="32"/>
  <c r="H24" i="32"/>
  <c r="M24" i="32"/>
  <c r="M31" i="32"/>
  <c r="M32" i="32"/>
  <c r="M33" i="32"/>
  <c r="M34" i="32"/>
  <c r="M35" i="32"/>
  <c r="M36" i="32"/>
  <c r="M37" i="32"/>
  <c r="K4" i="32"/>
  <c r="D16" i="87"/>
  <c r="G13" i="33"/>
  <c r="H13" i="33"/>
  <c r="M13" i="33"/>
  <c r="G14" i="33"/>
  <c r="H14" i="33"/>
  <c r="M14" i="33"/>
  <c r="G15" i="33"/>
  <c r="H15" i="33"/>
  <c r="M15" i="33"/>
  <c r="G18" i="33"/>
  <c r="H18" i="33"/>
  <c r="M18" i="33"/>
  <c r="I11" i="33"/>
  <c r="J11" i="33"/>
  <c r="M11" i="33"/>
  <c r="G12" i="33"/>
  <c r="H12" i="33"/>
  <c r="M12" i="33"/>
  <c r="M19" i="33"/>
  <c r="M20" i="33"/>
  <c r="M21" i="33"/>
  <c r="M22" i="33"/>
  <c r="M23" i="33"/>
  <c r="M24" i="33"/>
  <c r="M25" i="33"/>
  <c r="K4" i="33"/>
  <c r="D17" i="87"/>
  <c r="E17" i="88"/>
  <c r="D8" i="87"/>
  <c r="D18" i="87"/>
  <c r="F31" i="87"/>
  <c r="M4" i="33"/>
  <c r="K19" i="8"/>
  <c r="K27" i="8"/>
  <c r="L11" i="57"/>
  <c r="G17" i="57"/>
  <c r="H17" i="57"/>
  <c r="I17" i="57"/>
  <c r="J17" i="57"/>
  <c r="M17" i="57"/>
  <c r="G18" i="57"/>
  <c r="H18" i="57"/>
  <c r="I18" i="57"/>
  <c r="J18" i="57"/>
  <c r="M18" i="57"/>
  <c r="L11" i="29"/>
  <c r="G16" i="29"/>
  <c r="H16" i="29"/>
  <c r="I16" i="29"/>
  <c r="J16" i="29"/>
  <c r="M16" i="29"/>
  <c r="G17" i="29"/>
  <c r="H17" i="29"/>
  <c r="I17" i="29"/>
  <c r="J17" i="29"/>
  <c r="M17" i="29"/>
  <c r="L12" i="3"/>
  <c r="G17" i="3"/>
  <c r="H17" i="3"/>
  <c r="I17" i="3"/>
  <c r="J17" i="3"/>
  <c r="M17" i="3"/>
  <c r="G18" i="3"/>
  <c r="H18" i="3"/>
  <c r="I18" i="3"/>
  <c r="J18" i="3"/>
  <c r="M18" i="3"/>
  <c r="L11" i="8"/>
  <c r="G16" i="8"/>
  <c r="H16" i="8"/>
  <c r="I16" i="8"/>
  <c r="J16" i="8"/>
  <c r="M16" i="8"/>
  <c r="G17" i="8"/>
  <c r="H17" i="8"/>
  <c r="I17" i="8"/>
  <c r="J17" i="8"/>
  <c r="M17" i="8"/>
  <c r="L19" i="8"/>
  <c r="G24" i="8"/>
  <c r="H24" i="8"/>
  <c r="I24" i="8"/>
  <c r="J24" i="8"/>
  <c r="M24" i="8"/>
  <c r="G25" i="8"/>
  <c r="H25" i="8"/>
  <c r="I25" i="8"/>
  <c r="J25" i="8"/>
  <c r="M25" i="8"/>
  <c r="L27" i="8"/>
  <c r="G32" i="8"/>
  <c r="H32" i="8"/>
  <c r="I32" i="8"/>
  <c r="J32" i="8"/>
  <c r="M32" i="8"/>
  <c r="G33" i="8"/>
  <c r="H33" i="8"/>
  <c r="I33" i="8"/>
  <c r="J33" i="8"/>
  <c r="M33" i="8"/>
  <c r="L11" i="7"/>
  <c r="G16" i="7"/>
  <c r="H16" i="7"/>
  <c r="I16" i="7"/>
  <c r="J16" i="7"/>
  <c r="M16" i="7"/>
  <c r="G17" i="7"/>
  <c r="H17" i="7"/>
  <c r="I17" i="7"/>
  <c r="J17" i="7"/>
  <c r="M17" i="7"/>
  <c r="K19" i="7"/>
  <c r="L19" i="7"/>
  <c r="G24" i="7"/>
  <c r="H24" i="7"/>
  <c r="I24" i="7"/>
  <c r="J24" i="7"/>
  <c r="M24" i="7"/>
  <c r="G25" i="7"/>
  <c r="H25" i="7"/>
  <c r="I25" i="7"/>
  <c r="J25" i="7"/>
  <c r="M25" i="7"/>
  <c r="K27" i="7"/>
  <c r="L27" i="7"/>
  <c r="G32" i="7"/>
  <c r="H32" i="7"/>
  <c r="I32" i="7"/>
  <c r="J32" i="7"/>
  <c r="M32" i="7"/>
  <c r="G33" i="7"/>
  <c r="H33" i="7"/>
  <c r="I33" i="7"/>
  <c r="J33" i="7"/>
  <c r="M33" i="7"/>
  <c r="K35" i="7"/>
  <c r="L35" i="7"/>
  <c r="G40" i="7"/>
  <c r="H40" i="7"/>
  <c r="I40" i="7"/>
  <c r="J40" i="7"/>
  <c r="M40" i="7"/>
  <c r="G41" i="7"/>
  <c r="H41" i="7"/>
  <c r="I41" i="7"/>
  <c r="J41" i="7"/>
  <c r="M41" i="7"/>
  <c r="L12" i="9"/>
  <c r="G17" i="9"/>
  <c r="H17" i="9"/>
  <c r="I17" i="9"/>
  <c r="J17" i="9"/>
  <c r="M17" i="9"/>
  <c r="G18" i="9"/>
  <c r="H18" i="9"/>
  <c r="I18" i="9"/>
  <c r="J18" i="9"/>
  <c r="M18" i="9"/>
  <c r="K20" i="9"/>
  <c r="L20" i="9"/>
  <c r="G25" i="9"/>
  <c r="H25" i="9"/>
  <c r="I25" i="9"/>
  <c r="J25" i="9"/>
  <c r="M25" i="9"/>
  <c r="G26" i="9"/>
  <c r="H26" i="9"/>
  <c r="I26" i="9"/>
  <c r="J26" i="9"/>
  <c r="M26" i="9"/>
  <c r="K28" i="9"/>
  <c r="L28" i="9"/>
  <c r="G33" i="9"/>
  <c r="H33" i="9"/>
  <c r="I33" i="9"/>
  <c r="J33" i="9"/>
  <c r="M33" i="9"/>
  <c r="G34" i="9"/>
  <c r="H34" i="9"/>
  <c r="I34" i="9"/>
  <c r="J34" i="9"/>
  <c r="M34" i="9"/>
  <c r="K36" i="9"/>
  <c r="L36" i="9"/>
  <c r="G41" i="9"/>
  <c r="H41" i="9"/>
  <c r="I41" i="9"/>
  <c r="J41" i="9"/>
  <c r="M41" i="9"/>
  <c r="G42" i="9"/>
  <c r="H42" i="9"/>
  <c r="I42" i="9"/>
  <c r="J42" i="9"/>
  <c r="M42" i="9"/>
  <c r="L10" i="58"/>
  <c r="G15" i="58"/>
  <c r="H15" i="58"/>
  <c r="I15" i="58"/>
  <c r="J15" i="58"/>
  <c r="M15" i="58"/>
  <c r="G16" i="58"/>
  <c r="H16" i="58"/>
  <c r="I16" i="58"/>
  <c r="J16" i="58"/>
  <c r="M16" i="58"/>
  <c r="K18" i="58"/>
  <c r="L18" i="58"/>
  <c r="G23" i="58"/>
  <c r="H23" i="58"/>
  <c r="I23" i="58"/>
  <c r="J23" i="58"/>
  <c r="M23" i="58"/>
  <c r="G24" i="58"/>
  <c r="H24" i="58"/>
  <c r="I24" i="58"/>
  <c r="J24" i="58"/>
  <c r="M24" i="58"/>
  <c r="K26" i="58"/>
  <c r="L26" i="58"/>
  <c r="G31" i="58"/>
  <c r="H31" i="58"/>
  <c r="I31" i="58"/>
  <c r="J31" i="58"/>
  <c r="M31" i="58"/>
  <c r="G32" i="58"/>
  <c r="H32" i="58"/>
  <c r="I32" i="58"/>
  <c r="J32" i="58"/>
  <c r="M32" i="58"/>
  <c r="K34" i="58"/>
  <c r="L34" i="58"/>
  <c r="G39" i="58"/>
  <c r="H39" i="58"/>
  <c r="I39" i="58"/>
  <c r="J39" i="58"/>
  <c r="M39" i="58"/>
  <c r="G40" i="58"/>
  <c r="H40" i="58"/>
  <c r="I40" i="58"/>
  <c r="J40" i="58"/>
  <c r="M40" i="58"/>
  <c r="H15" i="32"/>
  <c r="L15" i="32"/>
  <c r="G20" i="32"/>
  <c r="H20" i="32"/>
  <c r="I20" i="32"/>
  <c r="J20" i="32"/>
  <c r="M20" i="32"/>
  <c r="G21" i="32"/>
  <c r="H21" i="32"/>
  <c r="I21" i="32"/>
  <c r="J21" i="32"/>
  <c r="M21" i="32"/>
  <c r="H23" i="32"/>
  <c r="K23" i="32"/>
  <c r="L23" i="32"/>
  <c r="G28" i="32"/>
  <c r="H28" i="32"/>
  <c r="I28" i="32"/>
  <c r="J28" i="32"/>
  <c r="M28" i="32"/>
  <c r="G29" i="32"/>
  <c r="H29" i="32"/>
  <c r="I29" i="32"/>
  <c r="J29" i="32"/>
  <c r="M29" i="32"/>
  <c r="H11" i="33"/>
  <c r="L11" i="33"/>
  <c r="G16" i="33"/>
  <c r="H16" i="33"/>
  <c r="I16" i="33"/>
  <c r="J16" i="33"/>
  <c r="M16" i="33"/>
  <c r="G17" i="33"/>
  <c r="H17" i="33"/>
  <c r="I17" i="33"/>
  <c r="J17" i="33"/>
  <c r="M17" i="33"/>
  <c r="L43" i="7"/>
  <c r="J43" i="7"/>
  <c r="L35" i="8"/>
  <c r="J35" i="8"/>
  <c r="H35" i="8"/>
  <c r="G3" i="88"/>
  <c r="H11" i="57"/>
  <c r="F12" i="57"/>
  <c r="J12" i="57"/>
  <c r="L12" i="57"/>
  <c r="F13" i="57"/>
  <c r="F14" i="57"/>
  <c r="J14" i="57"/>
  <c r="L14" i="57"/>
  <c r="F15" i="57"/>
  <c r="J15" i="57"/>
  <c r="L15" i="57"/>
  <c r="F16" i="57"/>
  <c r="J16" i="57"/>
  <c r="L16" i="57"/>
  <c r="F17" i="57"/>
  <c r="L17" i="57"/>
  <c r="F18" i="57"/>
  <c r="L18" i="57"/>
  <c r="F19" i="57"/>
  <c r="J19" i="57"/>
  <c r="L19" i="57"/>
  <c r="F11" i="29"/>
  <c r="H11" i="29"/>
  <c r="F12" i="29"/>
  <c r="J12" i="29"/>
  <c r="L12" i="29"/>
  <c r="F13" i="29"/>
  <c r="J13" i="29"/>
  <c r="L13" i="29"/>
  <c r="F14" i="29"/>
  <c r="J14" i="29"/>
  <c r="L14" i="29"/>
  <c r="F15" i="29"/>
  <c r="J15" i="29"/>
  <c r="L15" i="29"/>
  <c r="F16" i="29"/>
  <c r="L16" i="29"/>
  <c r="F17" i="29"/>
  <c r="L17" i="29"/>
  <c r="F18" i="29"/>
  <c r="J18" i="29"/>
  <c r="L18" i="29"/>
  <c r="F12" i="3"/>
  <c r="H12" i="3"/>
  <c r="F13" i="3"/>
  <c r="J13" i="3"/>
  <c r="L13" i="3"/>
  <c r="F14" i="3"/>
  <c r="J14" i="3"/>
  <c r="L14" i="3"/>
  <c r="F15" i="3"/>
  <c r="J15" i="3"/>
  <c r="L15" i="3"/>
  <c r="F16" i="3"/>
  <c r="J16" i="3"/>
  <c r="L16" i="3"/>
  <c r="F17" i="3"/>
  <c r="L17" i="3"/>
  <c r="F18" i="3"/>
  <c r="L18" i="3"/>
  <c r="F19" i="3"/>
  <c r="J19" i="3"/>
  <c r="L19" i="3"/>
  <c r="H11" i="8"/>
  <c r="F12" i="8"/>
  <c r="J12" i="8"/>
  <c r="L12" i="8"/>
  <c r="F13" i="8"/>
  <c r="J13" i="8"/>
  <c r="L13" i="8"/>
  <c r="F14" i="8"/>
  <c r="J14" i="8"/>
  <c r="L14" i="8"/>
  <c r="F15" i="8"/>
  <c r="J15" i="8"/>
  <c r="L15" i="8"/>
  <c r="F16" i="8"/>
  <c r="L16" i="8"/>
  <c r="F17" i="8"/>
  <c r="L17" i="8"/>
  <c r="F18" i="8"/>
  <c r="J18" i="8"/>
  <c r="L18" i="8"/>
  <c r="F19" i="8"/>
  <c r="H19" i="8"/>
  <c r="F20" i="8"/>
  <c r="J20" i="8"/>
  <c r="L20" i="8"/>
  <c r="F21" i="8"/>
  <c r="J21" i="8"/>
  <c r="L21" i="8"/>
  <c r="F22" i="8"/>
  <c r="J22" i="8"/>
  <c r="L22" i="8"/>
  <c r="F23" i="8"/>
  <c r="J23" i="8"/>
  <c r="L23" i="8"/>
  <c r="F24" i="8"/>
  <c r="L24" i="8"/>
  <c r="F25" i="8"/>
  <c r="L25" i="8"/>
  <c r="F26" i="8"/>
  <c r="J26" i="8"/>
  <c r="L26" i="8"/>
  <c r="F27" i="8"/>
  <c r="H27" i="8"/>
  <c r="F28" i="8"/>
  <c r="J28" i="8"/>
  <c r="L28" i="8"/>
  <c r="F29" i="8"/>
  <c r="J29" i="8"/>
  <c r="L29" i="8"/>
  <c r="F30" i="8"/>
  <c r="J30" i="8"/>
  <c r="L30" i="8"/>
  <c r="F31" i="8"/>
  <c r="J31" i="8"/>
  <c r="L31" i="8"/>
  <c r="F32" i="8"/>
  <c r="L32" i="8"/>
  <c r="F33" i="8"/>
  <c r="L33" i="8"/>
  <c r="F34" i="8"/>
  <c r="J34" i="8"/>
  <c r="L34" i="8"/>
  <c r="H11" i="7"/>
  <c r="F12" i="7"/>
  <c r="J12" i="7"/>
  <c r="L12" i="7"/>
  <c r="F13" i="7"/>
  <c r="J13" i="7"/>
  <c r="L13" i="7"/>
  <c r="F14" i="7"/>
  <c r="J14" i="7"/>
  <c r="L14" i="7"/>
  <c r="F15" i="7"/>
  <c r="J15" i="7"/>
  <c r="L15" i="7"/>
  <c r="F16" i="7"/>
  <c r="L16" i="7"/>
  <c r="F17" i="7"/>
  <c r="L17" i="7"/>
  <c r="F18" i="7"/>
  <c r="J18" i="7"/>
  <c r="L18" i="7"/>
  <c r="H19" i="7"/>
  <c r="F20" i="7"/>
  <c r="J20" i="7"/>
  <c r="L20" i="7"/>
  <c r="F21" i="7"/>
  <c r="J21" i="7"/>
  <c r="L21" i="7"/>
  <c r="F22" i="7"/>
  <c r="J22" i="7"/>
  <c r="L22" i="7"/>
  <c r="F23" i="7"/>
  <c r="J23" i="7"/>
  <c r="L23" i="7"/>
  <c r="F24" i="7"/>
  <c r="L24" i="7"/>
  <c r="F25" i="7"/>
  <c r="L25" i="7"/>
  <c r="F26" i="7"/>
  <c r="J26" i="7"/>
  <c r="L26" i="7"/>
  <c r="F27" i="7"/>
  <c r="H27" i="7"/>
  <c r="F28" i="7"/>
  <c r="J28" i="7"/>
  <c r="L28" i="7"/>
  <c r="F29" i="7"/>
  <c r="J29" i="7"/>
  <c r="L29" i="7"/>
  <c r="F30" i="7"/>
  <c r="J30" i="7"/>
  <c r="L30" i="7"/>
  <c r="F31" i="7"/>
  <c r="J31" i="7"/>
  <c r="L31" i="7"/>
  <c r="F32" i="7"/>
  <c r="L32" i="7"/>
  <c r="F33" i="7"/>
  <c r="L33" i="7"/>
  <c r="F34" i="7"/>
  <c r="J34" i="7"/>
  <c r="L34" i="7"/>
  <c r="F35" i="7"/>
  <c r="H35" i="7"/>
  <c r="F36" i="7"/>
  <c r="J36" i="7"/>
  <c r="L36" i="7"/>
  <c r="F37" i="7"/>
  <c r="J37" i="7"/>
  <c r="L37" i="7"/>
  <c r="F38" i="7"/>
  <c r="J38" i="7"/>
  <c r="L38" i="7"/>
  <c r="F39" i="7"/>
  <c r="J39" i="7"/>
  <c r="L39" i="7"/>
  <c r="F40" i="7"/>
  <c r="L40" i="7"/>
  <c r="F41" i="7"/>
  <c r="L41" i="7"/>
  <c r="F42" i="7"/>
  <c r="J42" i="7"/>
  <c r="L42" i="7"/>
  <c r="H12" i="9"/>
  <c r="F13" i="9"/>
  <c r="J13" i="9"/>
  <c r="L13" i="9"/>
  <c r="F14" i="9"/>
  <c r="J14" i="9"/>
  <c r="L14" i="9"/>
  <c r="F15" i="9"/>
  <c r="J15" i="9"/>
  <c r="L15" i="9"/>
  <c r="F16" i="9"/>
  <c r="J16" i="9"/>
  <c r="L16" i="9"/>
  <c r="F17" i="9"/>
  <c r="L17" i="9"/>
  <c r="F18" i="9"/>
  <c r="L18" i="9"/>
  <c r="F19" i="9"/>
  <c r="J19" i="9"/>
  <c r="L19" i="9"/>
  <c r="H20" i="9"/>
  <c r="F21" i="9"/>
  <c r="J21" i="9"/>
  <c r="L21" i="9"/>
  <c r="F22" i="9"/>
  <c r="J22" i="9"/>
  <c r="L22" i="9"/>
  <c r="F23" i="9"/>
  <c r="J23" i="9"/>
  <c r="L23" i="9"/>
  <c r="F24" i="9"/>
  <c r="J24" i="9"/>
  <c r="L24" i="9"/>
  <c r="F25" i="9"/>
  <c r="L25" i="9"/>
  <c r="F26" i="9"/>
  <c r="L26" i="9"/>
  <c r="F27" i="9"/>
  <c r="J27" i="9"/>
  <c r="L27" i="9"/>
  <c r="H28" i="9"/>
  <c r="F29" i="9"/>
  <c r="J29" i="9"/>
  <c r="L29" i="9"/>
  <c r="F30" i="9"/>
  <c r="J30" i="9"/>
  <c r="L30" i="9"/>
  <c r="F31" i="9"/>
  <c r="J31" i="9"/>
  <c r="L31" i="9"/>
  <c r="F32" i="9"/>
  <c r="J32" i="9"/>
  <c r="L32" i="9"/>
  <c r="F33" i="9"/>
  <c r="L33" i="9"/>
  <c r="F34" i="9"/>
  <c r="L34" i="9"/>
  <c r="F35" i="9"/>
  <c r="J35" i="9"/>
  <c r="L35" i="9"/>
  <c r="F36" i="9"/>
  <c r="H36" i="9"/>
  <c r="F37" i="9"/>
  <c r="J37" i="9"/>
  <c r="L37" i="9"/>
  <c r="F38" i="9"/>
  <c r="J38" i="9"/>
  <c r="L38" i="9"/>
  <c r="F39" i="9"/>
  <c r="J39" i="9"/>
  <c r="L39" i="9"/>
  <c r="F40" i="9"/>
  <c r="J40" i="9"/>
  <c r="L40" i="9"/>
  <c r="F41" i="9"/>
  <c r="L41" i="9"/>
  <c r="F42" i="9"/>
  <c r="L42" i="9"/>
  <c r="F43" i="9"/>
  <c r="J43" i="9"/>
  <c r="L43" i="9"/>
  <c r="H10" i="58"/>
  <c r="F11" i="58"/>
  <c r="J11" i="58"/>
  <c r="L11" i="58"/>
  <c r="F12" i="58"/>
  <c r="J12" i="58"/>
  <c r="L12" i="58"/>
  <c r="F13" i="58"/>
  <c r="J13" i="58"/>
  <c r="L13" i="58"/>
  <c r="F14" i="58"/>
  <c r="J14" i="58"/>
  <c r="L14" i="58"/>
  <c r="F15" i="58"/>
  <c r="L15" i="58"/>
  <c r="F16" i="58"/>
  <c r="L16" i="58"/>
  <c r="F17" i="58"/>
  <c r="J17" i="58"/>
  <c r="L17" i="58"/>
  <c r="H18" i="58"/>
  <c r="F19" i="58"/>
  <c r="J19" i="58"/>
  <c r="L19" i="58"/>
  <c r="F20" i="58"/>
  <c r="J20" i="58"/>
  <c r="L20" i="58"/>
  <c r="F21" i="58"/>
  <c r="J21" i="58"/>
  <c r="L21" i="58"/>
  <c r="F22" i="58"/>
  <c r="J22" i="58"/>
  <c r="L22" i="58"/>
  <c r="F23" i="58"/>
  <c r="L23" i="58"/>
  <c r="F24" i="58"/>
  <c r="L24" i="58"/>
  <c r="F25" i="58"/>
  <c r="J25" i="58"/>
  <c r="L25" i="58"/>
  <c r="H26" i="58"/>
  <c r="F27" i="58"/>
  <c r="J27" i="58"/>
  <c r="L27" i="58"/>
  <c r="F28" i="58"/>
  <c r="J28" i="58"/>
  <c r="L28" i="58"/>
  <c r="F29" i="58"/>
  <c r="J29" i="58"/>
  <c r="L29" i="58"/>
  <c r="F30" i="58"/>
  <c r="J30" i="58"/>
  <c r="L30" i="58"/>
  <c r="F31" i="58"/>
  <c r="L31" i="58"/>
  <c r="F32" i="58"/>
  <c r="L32" i="58"/>
  <c r="F33" i="58"/>
  <c r="J33" i="58"/>
  <c r="L33" i="58"/>
  <c r="F34" i="58"/>
  <c r="H34" i="58"/>
  <c r="F35" i="58"/>
  <c r="J35" i="58"/>
  <c r="L35" i="58"/>
  <c r="F36" i="58"/>
  <c r="J36" i="58"/>
  <c r="L36" i="58"/>
  <c r="F37" i="58"/>
  <c r="J37" i="58"/>
  <c r="L37" i="58"/>
  <c r="F38" i="58"/>
  <c r="J38" i="58"/>
  <c r="L38" i="58"/>
  <c r="F39" i="58"/>
  <c r="L39" i="58"/>
  <c r="F40" i="58"/>
  <c r="L40" i="58"/>
  <c r="F41" i="58"/>
  <c r="J41" i="58"/>
  <c r="L41" i="58"/>
  <c r="F16" i="32"/>
  <c r="J16" i="32"/>
  <c r="L16" i="32"/>
  <c r="F17" i="32"/>
  <c r="J17" i="32"/>
  <c r="L17" i="32"/>
  <c r="F18" i="32"/>
  <c r="J18" i="32"/>
  <c r="L18" i="32"/>
  <c r="F19" i="32"/>
  <c r="J19" i="32"/>
  <c r="L19" i="32"/>
  <c r="F20" i="32"/>
  <c r="L20" i="32"/>
  <c r="F21" i="32"/>
  <c r="L21" i="32"/>
  <c r="F22" i="32"/>
  <c r="J22" i="32"/>
  <c r="L22" i="32"/>
  <c r="F24" i="32"/>
  <c r="J24" i="32"/>
  <c r="L24" i="32"/>
  <c r="F25" i="32"/>
  <c r="J25" i="32"/>
  <c r="L25" i="32"/>
  <c r="F26" i="32"/>
  <c r="J26" i="32"/>
  <c r="L26" i="32"/>
  <c r="F27" i="32"/>
  <c r="J27" i="32"/>
  <c r="L27" i="32"/>
  <c r="F28" i="32"/>
  <c r="L28" i="32"/>
  <c r="F29" i="32"/>
  <c r="L29" i="32"/>
  <c r="F30" i="32"/>
  <c r="J30" i="32"/>
  <c r="L30" i="32"/>
  <c r="F11" i="33"/>
  <c r="F12" i="33"/>
  <c r="J12" i="33"/>
  <c r="L12" i="33"/>
  <c r="F13" i="33"/>
  <c r="J13" i="33"/>
  <c r="L13" i="33"/>
  <c r="F14" i="33"/>
  <c r="J14" i="33"/>
  <c r="L14" i="33"/>
  <c r="F15" i="33"/>
  <c r="J15" i="33"/>
  <c r="L15" i="33"/>
  <c r="F16" i="33"/>
  <c r="L16" i="33"/>
  <c r="F17" i="33"/>
  <c r="L17" i="33"/>
  <c r="F18" i="33"/>
  <c r="J18" i="33"/>
  <c r="L18" i="33"/>
  <c r="D4" i="87"/>
  <c r="C10" i="87"/>
  <c r="C11" i="87"/>
  <c r="C12" i="87"/>
  <c r="C13" i="87"/>
  <c r="C14" i="87"/>
  <c r="C15" i="87"/>
  <c r="C16" i="87"/>
  <c r="C17" i="87"/>
  <c r="D24" i="87"/>
  <c r="F24" i="87"/>
  <c r="D25" i="87"/>
  <c r="F25" i="87"/>
  <c r="F26" i="87"/>
  <c r="F27" i="87"/>
  <c r="F28" i="87"/>
  <c r="C8" i="87"/>
  <c r="C9" i="87"/>
  <c r="C18" i="87"/>
  <c r="I3" i="88"/>
  <c r="I2" i="88"/>
  <c r="H3" i="88"/>
  <c r="H19" i="33"/>
  <c r="J19" i="33"/>
  <c r="L19" i="33"/>
  <c r="H31" i="32"/>
  <c r="J31" i="32"/>
  <c r="L31" i="32"/>
  <c r="H42" i="58"/>
  <c r="J42" i="58"/>
  <c r="L42" i="58"/>
  <c r="H44" i="9"/>
  <c r="J44" i="9"/>
  <c r="L44" i="9"/>
  <c r="H43" i="7"/>
  <c r="H20" i="3"/>
  <c r="J20" i="3"/>
  <c r="L20" i="3"/>
  <c r="H19" i="29"/>
  <c r="J19" i="29"/>
  <c r="L19" i="29"/>
  <c r="H20" i="57"/>
  <c r="J20" i="57"/>
  <c r="L20" i="57"/>
  <c r="K45" i="7"/>
  <c r="K46" i="9"/>
  <c r="K44" i="58"/>
  <c r="K33" i="32"/>
  <c r="K21" i="33"/>
  <c r="K37" i="8"/>
  <c r="K22" i="3"/>
  <c r="K21" i="29"/>
  <c r="K22" i="57"/>
  <c r="M4" i="58"/>
  <c r="M5" i="57"/>
  <c r="M4" i="32"/>
  <c r="M4" i="9"/>
  <c r="M4" i="7"/>
  <c r="M4" i="8"/>
  <c r="M5" i="3"/>
  <c r="M5" i="29"/>
  <c r="L4" i="58"/>
  <c r="L4" i="32"/>
  <c r="L5" i="57"/>
  <c r="L4" i="8"/>
  <c r="L5" i="3"/>
  <c r="L5" i="29"/>
  <c r="L4" i="9"/>
  <c r="L4" i="33"/>
  <c r="L4" i="7"/>
  <c r="M3" i="7"/>
  <c r="M4" i="3"/>
  <c r="M3" i="9"/>
  <c r="M4" i="29"/>
  <c r="M3" i="8"/>
  <c r="M3" i="33"/>
  <c r="M3" i="32"/>
  <c r="M3" i="58"/>
  <c r="M4" i="57"/>
</calcChain>
</file>

<file path=xl/sharedStrings.xml><?xml version="1.0" encoding="utf-8"?>
<sst xmlns="http://schemas.openxmlformats.org/spreadsheetml/2006/main" count="977" uniqueCount="139">
  <si>
    <t>##</t>
  </si>
  <si>
    <t>1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</si>
  <si>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</si>
  <si>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</si>
  <si>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</si>
  <si>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</si>
  <si>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</si>
  <si>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</si>
  <si>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</si>
  <si>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</si>
  <si>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</si>
  <si>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m3</t>
  </si>
  <si>
    <t>kg</t>
  </si>
  <si>
    <t>2</t>
  </si>
  <si>
    <t>5</t>
  </si>
  <si>
    <t>m2</t>
  </si>
  <si>
    <t>BOQ</t>
  </si>
  <si>
    <t>N</t>
  </si>
  <si>
    <t>Total</t>
  </si>
  <si>
    <t>USD</t>
  </si>
  <si>
    <t>Description</t>
  </si>
  <si>
    <t>Quantity</t>
  </si>
  <si>
    <t>Material</t>
  </si>
  <si>
    <t>Labor</t>
  </si>
  <si>
    <t>Transport and Equipment</t>
  </si>
  <si>
    <t>TOTAL</t>
  </si>
  <si>
    <t>Overhead:</t>
  </si>
  <si>
    <t>Sub-Total</t>
  </si>
  <si>
    <t>Other supplementary material</t>
  </si>
  <si>
    <t>Plywood</t>
  </si>
  <si>
    <t>Electrode</t>
  </si>
  <si>
    <t>UNIT</t>
  </si>
  <si>
    <t>Unit.Price</t>
  </si>
  <si>
    <t>VAT</t>
  </si>
  <si>
    <t>Timber</t>
  </si>
  <si>
    <t>tn</t>
  </si>
  <si>
    <t>R/C Stairs B30</t>
  </si>
  <si>
    <t>H Beam</t>
  </si>
  <si>
    <t>Steel Rebar Grade A240C</t>
  </si>
  <si>
    <t>Steel Rebar Grade A 500C</t>
  </si>
  <si>
    <t>US $  Rate</t>
  </si>
  <si>
    <t>GEL</t>
  </si>
  <si>
    <t>სამუშაოთა აღწერა</t>
  </si>
  <si>
    <t>H კოჭი</t>
  </si>
  <si>
    <t>ფანერა</t>
  </si>
  <si>
    <t>ელექტროდი</t>
  </si>
  <si>
    <t>არმატურა A 500C</t>
  </si>
  <si>
    <t>სხვა მასალა</t>
  </si>
  <si>
    <t>არმატურა A240C</t>
  </si>
  <si>
    <t>ხის მასალა</t>
  </si>
  <si>
    <t>R/C Columns</t>
  </si>
  <si>
    <t>R/C Shear Walls</t>
  </si>
  <si>
    <t>R/C Slabs and Beams</t>
  </si>
  <si>
    <t>რ/ბ კოლონები</t>
  </si>
  <si>
    <t>რ/ბ კედლები</t>
  </si>
  <si>
    <t>რ/ბ ფილები და რიგელები</t>
  </si>
  <si>
    <t xml:space="preserve">ბეტონი B30 </t>
  </si>
  <si>
    <t>Concrete B30</t>
  </si>
  <si>
    <t>R/C Stairs</t>
  </si>
  <si>
    <t>რ/ბ კიბე</t>
  </si>
  <si>
    <t>R/C Slabs &amp; Beams B30</t>
  </si>
  <si>
    <t>რ/ბ ფილის და რიგელების მოწყობა B30 კლასის ბეტონით</t>
  </si>
  <si>
    <t>ბეტონი B30</t>
  </si>
  <si>
    <t>R/C Colums B30</t>
  </si>
  <si>
    <t>რ/ბ კოლონების მოწყობა B30 კლასის ბეტონით</t>
  </si>
  <si>
    <t>რ/ბ კიბის მოწყობა B30 კლასის ბეტონით</t>
  </si>
  <si>
    <t>რ/ბ კედლების მოწყობა B30 კლასის ბეტონით</t>
  </si>
  <si>
    <t>Profit</t>
  </si>
  <si>
    <t>Level +3.970</t>
  </si>
  <si>
    <t>Level +7.570</t>
  </si>
  <si>
    <t>Level +10.870</t>
  </si>
  <si>
    <t>R/C Walls B30</t>
  </si>
  <si>
    <t>R/C Ramp B25W6</t>
  </si>
  <si>
    <t>ბეტონი B25 W6</t>
  </si>
  <si>
    <t>Concrete B25W6</t>
  </si>
  <si>
    <t>Concrete B7.5</t>
  </si>
  <si>
    <t>ბეტონი B7.5</t>
  </si>
  <si>
    <t>ბეტონი B25W6</t>
  </si>
  <si>
    <t>რ/ბ პანდუსის მოწყობა B25W6 კლასის ბეტონით</t>
  </si>
  <si>
    <t>აღწერა</t>
  </si>
  <si>
    <t>Discription</t>
  </si>
  <si>
    <t>Total GEL</t>
  </si>
  <si>
    <t>Total USD</t>
  </si>
  <si>
    <t>Level +0.370</t>
  </si>
  <si>
    <t>Total Value</t>
  </si>
  <si>
    <t>Site Preparation Works</t>
  </si>
  <si>
    <t>Locate and protect make safe existing hv cables</t>
  </si>
  <si>
    <t>Locate and reconnect all existing underground drainage</t>
  </si>
  <si>
    <t>Remove all existing formworks including stairwells</t>
  </si>
  <si>
    <t>Arrange site containers, temporary toilets and storage (period 2 monthes)</t>
  </si>
  <si>
    <t>Temporary eleatric and water supply (2 monthes)</t>
  </si>
  <si>
    <t>Remoove and locate on site all materials of previous contractors / clear site of rubbish</t>
  </si>
  <si>
    <t>არსებული შეფიცრულობების გამოხსნა კიბის წერტილების ჩათვლით (ყველა!)</t>
  </si>
  <si>
    <t>წინა კონტრაქტორის ყველა მასალის შეკრება და დასაწყობება</t>
  </si>
  <si>
    <t>შენობის გარშემო გრუნტის შესაბამის დონეზე ექსკავაცია, ჰიდროიზოლაციის დათვალიერება და შესწავლა, მემბრანის შეკეთება და ჩამოვარდნილი ადგილების დამაგრება, ლიფტის შახტების ჰიდროიზოლაციის მოწყობა</t>
  </si>
  <si>
    <t>მასალა / Material</t>
  </si>
  <si>
    <t>ხელფასი / Labor</t>
  </si>
  <si>
    <t>#</t>
  </si>
  <si>
    <t>მაღალი ძაბვის კაბელების მოწესრიგება / დაცვა</t>
  </si>
  <si>
    <t>მიწისქვეშა სანიაღვრე ქსელის დაერთება</t>
  </si>
  <si>
    <t>დროებითი კონტეინერების, საპირფარეშოების და სხვა დამხმარე სათავსოების მოწყობა / შენახვა 2 თვის პერიოდით</t>
  </si>
  <si>
    <t>დროებითი ელ. მომარაგების და წყლის მიწოდების მოწყობა, გამრიცხველიანობა და შენახვა 2 თვის პერიოდით</t>
  </si>
  <si>
    <t>UNIT PRICE ASSUMPTION</t>
  </si>
  <si>
    <t>LEVEL -13.730</t>
  </si>
  <si>
    <t>Unit Price</t>
  </si>
  <si>
    <t>LEVEL -10.430</t>
  </si>
  <si>
    <t>EVEX LABORATORY R/C WORKS</t>
  </si>
  <si>
    <t>Level -13.730 (Ramp Arrangement)</t>
  </si>
  <si>
    <t>Level -10.430 (R/C Stairs)</t>
  </si>
  <si>
    <t>Level -7.130 (R/C Stairs)</t>
  </si>
  <si>
    <t xml:space="preserve"> BOQ</t>
  </si>
  <si>
    <t>Material by Employer</t>
  </si>
  <si>
    <t>დამკვეთის მასალა</t>
  </si>
  <si>
    <t>ფასი / Price</t>
  </si>
  <si>
    <t>ჯამი / Total:</t>
  </si>
  <si>
    <t>Normative Ratio</t>
  </si>
  <si>
    <t>Grand Total:</t>
  </si>
  <si>
    <t>LEVEL -7.130</t>
  </si>
  <si>
    <t xml:space="preserve">          </t>
  </si>
  <si>
    <t xml:space="preserve">Level -3.230    </t>
  </si>
  <si>
    <t>Level -3.230 (Coloumns/Walls/Stairs)</t>
  </si>
  <si>
    <t>Level +0.370 (full)</t>
  </si>
  <si>
    <t>Level +3.970 (full)</t>
  </si>
  <si>
    <t>Level +7.570 (full)</t>
  </si>
  <si>
    <t>Level +10.870 (full)</t>
  </si>
  <si>
    <t>Level +13.770 (full)</t>
  </si>
  <si>
    <t>Total / ჯამი</t>
  </si>
  <si>
    <t>ტონა / Tones</t>
  </si>
  <si>
    <t>Total (Excl. VAT)</t>
  </si>
  <si>
    <t>USD  Exchange Rate</t>
  </si>
  <si>
    <t>Make safe excavation around perimeter of building, inspect existing waterproof membrane repair and replace whereas necessary; check hydroinsulation of elevator pits</t>
  </si>
  <si>
    <t>Arrange site hoarding with fencing, gate and Security</t>
  </si>
  <si>
    <t xml:space="preserve"> საამშენებლო უბნის ღობით შემოფარგვლა, შესაბამისი ალაყაფის კარის მოწყობა და დაცვის ორგანიზება</t>
  </si>
  <si>
    <t>Construct and maintain temporary road to the site / arrange truck wash facility</t>
  </si>
  <si>
    <t>დროებითი გზის მოწყობა და შესაბამის კონდიციაში შენარჩუნება / მანქანების სარეცხი პუნქტი</t>
  </si>
  <si>
    <t>Temporary Utilities &amp; Site Survey &amp; Preparation Works</t>
  </si>
  <si>
    <t>Total (Including VAT)</t>
  </si>
  <si>
    <t>es kontraqtorisaa</t>
  </si>
  <si>
    <t>MBG.LTD - 2018.02.21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</si>
</sst>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р_._-;\-* #,##0.00_р_._-;_-* &quot;-&quot;??_р_._-;_-@_-"/>
    <numFmt numFmtId="165" formatCode="_(&quot;GEL&quot;* #,##0.00_);_(&quot;GEL&quot;* \(#,##0.00\);_(&quot;GEL&quot;* &quot;-&quot;??_);_(@_)"/>
    <numFmt numFmtId="166" formatCode="0.0"/>
    <numFmt numFmtId="167" formatCode="_(* #,##0.000_);_(* \(#,##0.000\);_(* &quot;-&quot;??_);_(@_)"/>
    <numFmt numFmtId="168" formatCode="_([$$-409]* #,##0.00_);_([$$-409]* \(#,##0.00\);_([$$-409]* &quot;-&quot;??_);_(@_)"/>
    <numFmt numFmtId="169" formatCode="&quot;GEL&quot;#,##0.00"/>
    <numFmt numFmtId="170" formatCode="_-* #,##0_р_._-;\-* #,##0_р_._-;_-* &quot;-&quot;??_р_._-;_-@_-"/>
    <numFmt numFmtId="171" formatCode="_(* #,##0.0000_);_(* \(#,##0.0000\);_(* &quot;-&quot;??_);_(@_)"/>
    <numFmt numFmtId="172" formatCode="_-* #,##0.00\ _L_a_r_i_-;\-* #,##0.00\ _L_a_r_i_-;_-* &quot;-&quot;??\ _L_a_r_i_-;_-@_-"/>
    <numFmt numFmtId="173" formatCode="_([$$-409]* #,##0.000_);_([$$-409]* \(#,##0.000\);_([$$-409]* &quot;-&quot;??_);_(@_)"/>
    <numFmt numFmtId="174" formatCode="_(* #,##0_);_(* \(#,##0\);_(* &quot;-&quot;??_);_(@_)"/>
    <numFmt numFmtId="175" formatCode="_-[$$-409]* #,##0.00_ ;_-[$$-409]* \-#,##0.00\ ;_-[$$-409]* &quot;-&quot;??_ ;_-@_ "/>
    <numFmt numFmtId="176" formatCode="0.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sz val="10"/>
      <name val="Helv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name val="Sylfaen"/>
      <family val="1"/>
    </font>
    <font>
      <sz val="8"/>
      <name val="Sylfaen"/>
      <family val="1"/>
    </font>
    <font>
      <sz val="11"/>
      <name val="Sylfaen"/>
      <family val="1"/>
    </font>
    <font>
      <b/>
      <sz val="8"/>
      <name val="Sylfaen"/>
      <family val="1"/>
    </font>
    <font>
      <sz val="12"/>
      <name val="Sylfaen"/>
      <family val="1"/>
    </font>
    <font>
      <b/>
      <sz val="14"/>
      <name val="Sylfaen"/>
      <family val="1"/>
    </font>
    <font>
      <b/>
      <sz val="11"/>
      <name val="Sylfaen"/>
      <family val="1"/>
    </font>
    <font>
      <sz val="11"/>
      <color theme="1"/>
      <name val="Sylfaen"/>
      <family val="1"/>
    </font>
    <font>
      <b/>
      <i/>
      <sz val="11"/>
      <name val="Sylfaen"/>
      <family val="1"/>
    </font>
    <font>
      <i/>
      <sz val="11"/>
      <name val="Sylfaen"/>
      <family val="1"/>
    </font>
    <font>
      <b/>
      <sz val="16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6"/>
      <color theme="1"/>
      <name val="Sylfaen"/>
      <family val="1"/>
    </font>
    <font>
      <b/>
      <sz val="18"/>
      <color theme="1"/>
      <name val="Sylfaen"/>
      <family val="1"/>
    </font>
    <font>
      <b/>
      <sz val="11"/>
      <color rgb="FFFF0000"/>
      <name val="Sylfaen"/>
      <family val="1"/>
    </font>
    <font>
      <sz val="11"/>
      <color theme="3" tint="0.39997558519241921"/>
      <name val="Sylfaen"/>
      <family val="1"/>
    </font>
    <font>
      <b/>
      <sz val="12"/>
      <color theme="3" tint="0.39997558519241921"/>
      <name val="Sylfaen"/>
      <family val="1"/>
    </font>
    <font>
      <sz val="11"/>
      <color rgb="FFFF0000"/>
      <name val="Sylfaen"/>
      <family val="1"/>
    </font>
    <font>
      <i/>
      <sz val="11"/>
      <color rgb="FFFF0000"/>
      <name val="Sylfae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90">
    <xf numFmtId="168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9" fillId="0" borderId="0"/>
    <xf numFmtId="0" fontId="10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9" fillId="0" borderId="0"/>
    <xf numFmtId="172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72" fontId="1" fillId="0" borderId="0" applyFon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2" fillId="0" borderId="0"/>
    <xf numFmtId="0" fontId="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3" fillId="0" borderId="0"/>
    <xf numFmtId="43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9" fontId="1" fillId="0" borderId="0" applyFont="0" applyFill="0" applyBorder="0" applyAlignment="0" applyProtection="0"/>
  </cellStyleXfs>
  <cellXfs count="230">
    <xf numFmtId="168" fontId="0" fillId="0" borderId="0" xfId="0"/>
    <xf numFmtId="168" fontId="2" fillId="2" borderId="0" xfId="0" applyFont="1" applyFill="1" applyAlignment="1">
      <alignment vertical="center" wrapText="1"/>
    </xf>
    <xf numFmtId="168" fontId="3" fillId="2" borderId="0" xfId="0" applyFont="1" applyFill="1" applyBorder="1" applyAlignment="1">
      <alignment horizontal="right" vertical="center" wrapText="1"/>
    </xf>
    <xf numFmtId="168" fontId="3" fillId="2" borderId="0" xfId="0" applyFont="1" applyFill="1" applyBorder="1" applyAlignment="1">
      <alignment vertical="center" wrapText="1"/>
    </xf>
    <xf numFmtId="168" fontId="3" fillId="2" borderId="0" xfId="0" applyFont="1" applyFill="1" applyAlignment="1">
      <alignment vertical="center"/>
    </xf>
    <xf numFmtId="168" fontId="4" fillId="2" borderId="0" xfId="0" applyFont="1" applyFill="1" applyBorder="1" applyAlignment="1">
      <alignment horizontal="right" vertical="center" wrapText="1"/>
    </xf>
    <xf numFmtId="43" fontId="3" fillId="2" borderId="0" xfId="1" applyFont="1" applyFill="1" applyAlignment="1">
      <alignment vertical="center"/>
    </xf>
    <xf numFmtId="168" fontId="5" fillId="0" borderId="0" xfId="0" applyFont="1"/>
    <xf numFmtId="168" fontId="3" fillId="2" borderId="20" xfId="0" applyFont="1" applyFill="1" applyBorder="1" applyAlignment="1">
      <alignment vertical="center"/>
    </xf>
    <xf numFmtId="0" fontId="3" fillId="2" borderId="0" xfId="0" applyNumberFormat="1" applyFont="1" applyFill="1" applyAlignment="1">
      <alignment vertical="center"/>
    </xf>
    <xf numFmtId="43" fontId="2" fillId="2" borderId="0" xfId="1" applyFont="1" applyFill="1" applyAlignment="1">
      <alignment vertical="center" wrapText="1"/>
    </xf>
    <xf numFmtId="168" fontId="0" fillId="2" borderId="0" xfId="0" applyFill="1"/>
    <xf numFmtId="168" fontId="6" fillId="2" borderId="0" xfId="0" applyNumberFormat="1" applyFont="1" applyFill="1"/>
    <xf numFmtId="0" fontId="3" fillId="2" borderId="0" xfId="120" applyFont="1" applyFill="1" applyAlignment="1">
      <alignment vertical="center"/>
    </xf>
    <xf numFmtId="0" fontId="3" fillId="2" borderId="36" xfId="120" applyFont="1" applyFill="1" applyBorder="1" applyAlignment="1">
      <alignment vertical="center"/>
    </xf>
    <xf numFmtId="0" fontId="18" fillId="2" borderId="0" xfId="120" applyFont="1" applyFill="1" applyAlignment="1">
      <alignment vertical="center"/>
    </xf>
    <xf numFmtId="43" fontId="17" fillId="2" borderId="0" xfId="1" applyFont="1" applyFill="1" applyAlignment="1">
      <alignment vertical="center"/>
    </xf>
    <xf numFmtId="1" fontId="22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NumberFormat="1" applyFont="1" applyBorder="1" applyAlignment="1" applyProtection="1">
      <alignment vertical="center" wrapText="1"/>
      <protection locked="0"/>
    </xf>
    <xf numFmtId="44" fontId="18" fillId="2" borderId="1" xfId="2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168" fontId="22" fillId="0" borderId="1" xfId="113" applyNumberFormat="1" applyFont="1" applyBorder="1" applyAlignment="1" applyProtection="1">
      <alignment horizontal="center" vertical="center" wrapText="1"/>
    </xf>
    <xf numFmtId="0" fontId="18" fillId="2" borderId="0" xfId="120" applyFont="1" applyFill="1" applyAlignment="1">
      <alignment horizontal="left" vertical="center"/>
    </xf>
    <xf numFmtId="168" fontId="23" fillId="0" borderId="0" xfId="0" applyFont="1" applyAlignment="1">
      <alignment vertical="center"/>
    </xf>
    <xf numFmtId="14" fontId="18" fillId="2" borderId="0" xfId="120" applyNumberFormat="1" applyFont="1" applyFill="1" applyAlignment="1">
      <alignment vertical="center"/>
    </xf>
    <xf numFmtId="0" fontId="22" fillId="2" borderId="0" xfId="120" applyFont="1" applyFill="1" applyAlignment="1">
      <alignment vertical="center" wrapText="1"/>
    </xf>
    <xf numFmtId="0" fontId="18" fillId="2" borderId="34" xfId="120" applyFont="1" applyFill="1" applyBorder="1" applyAlignment="1">
      <alignment vertical="center" wrapText="1"/>
    </xf>
    <xf numFmtId="0" fontId="18" fillId="2" borderId="0" xfId="120" applyFont="1" applyFill="1" applyAlignment="1">
      <alignment horizontal="center" vertical="center" wrapText="1"/>
    </xf>
    <xf numFmtId="0" fontId="22" fillId="2" borderId="0" xfId="120" applyFont="1" applyFill="1" applyAlignment="1">
      <alignment horizontal="center" vertical="center" wrapText="1"/>
    </xf>
    <xf numFmtId="0" fontId="18" fillId="2" borderId="3" xfId="120" applyFont="1" applyFill="1" applyBorder="1" applyAlignment="1">
      <alignment horizontal="center" vertical="center" wrapText="1"/>
    </xf>
    <xf numFmtId="0" fontId="18" fillId="2" borderId="1" xfId="120" applyFont="1" applyFill="1" applyBorder="1" applyAlignment="1">
      <alignment horizontal="center" vertical="center" wrapText="1"/>
    </xf>
    <xf numFmtId="43" fontId="18" fillId="2" borderId="2" xfId="1" applyFont="1" applyFill="1" applyBorder="1" applyAlignment="1">
      <alignment horizontal="center" vertical="center" wrapText="1"/>
    </xf>
    <xf numFmtId="0" fontId="18" fillId="2" borderId="0" xfId="120" applyFont="1" applyFill="1" applyAlignment="1">
      <alignment vertical="center" wrapText="1"/>
    </xf>
    <xf numFmtId="0" fontId="22" fillId="2" borderId="0" xfId="120" applyFont="1" applyFill="1" applyAlignment="1">
      <alignment horizontal="left" vertical="center" wrapText="1"/>
    </xf>
    <xf numFmtId="44" fontId="18" fillId="2" borderId="1" xfId="2" applyFont="1" applyFill="1" applyBorder="1" applyAlignment="1">
      <alignment horizontal="right" vertical="center" wrapText="1"/>
    </xf>
    <xf numFmtId="165" fontId="22" fillId="2" borderId="35" xfId="120" applyNumberFormat="1" applyFont="1" applyFill="1" applyBorder="1" applyAlignment="1">
      <alignment horizontal="right" vertical="center" wrapText="1"/>
    </xf>
    <xf numFmtId="171" fontId="18" fillId="2" borderId="2" xfId="1" applyNumberFormat="1" applyFont="1" applyFill="1" applyBorder="1" applyAlignment="1">
      <alignment horizontal="right" vertical="center" wrapText="1"/>
    </xf>
    <xf numFmtId="0" fontId="18" fillId="2" borderId="17" xfId="120" applyFont="1" applyFill="1" applyBorder="1" applyAlignment="1">
      <alignment vertical="center" wrapText="1"/>
    </xf>
    <xf numFmtId="43" fontId="18" fillId="2" borderId="0" xfId="1" applyFont="1" applyFill="1" applyBorder="1" applyAlignment="1">
      <alignment vertical="center" wrapText="1"/>
    </xf>
    <xf numFmtId="43" fontId="18" fillId="2" borderId="0" xfId="1" applyFont="1" applyFill="1" applyAlignment="1">
      <alignment vertical="center"/>
    </xf>
    <xf numFmtId="14" fontId="18" fillId="2" borderId="0" xfId="1" applyNumberFormat="1" applyFont="1" applyFill="1" applyAlignment="1">
      <alignment vertical="center"/>
    </xf>
    <xf numFmtId="168" fontId="23" fillId="0" borderId="0" xfId="0" applyFont="1"/>
    <xf numFmtId="168" fontId="18" fillId="0" borderId="0" xfId="0" applyFont="1"/>
    <xf numFmtId="168" fontId="22" fillId="0" borderId="0" xfId="0" applyFont="1"/>
    <xf numFmtId="168" fontId="18" fillId="0" borderId="13" xfId="0" applyFont="1" applyBorder="1"/>
    <xf numFmtId="168" fontId="23" fillId="2" borderId="0" xfId="0" applyFont="1" applyFill="1"/>
    <xf numFmtId="44" fontId="16" fillId="2" borderId="1" xfId="2" applyFont="1" applyFill="1" applyBorder="1" applyAlignment="1">
      <alignment horizontal="center" vertical="center" wrapText="1"/>
    </xf>
    <xf numFmtId="168" fontId="22" fillId="2" borderId="1" xfId="0" applyNumberFormat="1" applyFont="1" applyFill="1" applyBorder="1" applyAlignment="1">
      <alignment horizontal="center" vertical="center" wrapText="1"/>
    </xf>
    <xf numFmtId="168" fontId="22" fillId="2" borderId="0" xfId="0" applyNumberFormat="1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/>
    </xf>
    <xf numFmtId="168" fontId="22" fillId="2" borderId="1" xfId="0" applyNumberFormat="1" applyFont="1" applyFill="1" applyBorder="1" applyAlignment="1">
      <alignment horizontal="left" vertical="center" wrapText="1"/>
    </xf>
    <xf numFmtId="174" fontId="22" fillId="2" borderId="0" xfId="1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top" wrapText="1"/>
    </xf>
    <xf numFmtId="168" fontId="22" fillId="2" borderId="0" xfId="2" applyNumberFormat="1" applyFont="1" applyFill="1" applyBorder="1" applyAlignment="1">
      <alignment horizontal="right" vertical="center" wrapText="1"/>
    </xf>
    <xf numFmtId="44" fontId="18" fillId="0" borderId="1" xfId="2" applyFont="1" applyFill="1" applyBorder="1" applyAlignment="1">
      <alignment horizontal="center" vertical="center" wrapText="1"/>
    </xf>
    <xf numFmtId="44" fontId="18" fillId="2" borderId="1" xfId="2" applyFont="1" applyFill="1" applyBorder="1" applyAlignment="1">
      <alignment vertical="center"/>
    </xf>
    <xf numFmtId="44" fontId="23" fillId="0" borderId="1" xfId="2" applyFont="1" applyBorder="1"/>
    <xf numFmtId="44" fontId="18" fillId="2" borderId="1" xfId="2" applyFont="1" applyFill="1" applyBorder="1" applyAlignment="1">
      <alignment horizontal="center" vertical="center"/>
    </xf>
    <xf numFmtId="44" fontId="18" fillId="0" borderId="1" xfId="2" applyFont="1" applyBorder="1"/>
    <xf numFmtId="0" fontId="1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43" fontId="22" fillId="6" borderId="1" xfId="158" applyFont="1" applyFill="1" applyBorder="1" applyAlignment="1" applyProtection="1">
      <alignment horizontal="center" vertical="center" wrapText="1"/>
      <protection locked="0"/>
    </xf>
    <xf numFmtId="168" fontId="22" fillId="6" borderId="33" xfId="0" applyFont="1" applyFill="1" applyBorder="1" applyAlignment="1">
      <alignment horizontal="center" vertical="center" wrapText="1"/>
    </xf>
    <xf numFmtId="168" fontId="22" fillId="6" borderId="1" xfId="0" applyFont="1" applyFill="1" applyBorder="1" applyAlignment="1">
      <alignment horizontal="center" vertical="center" wrapText="1"/>
    </xf>
    <xf numFmtId="168" fontId="21" fillId="0" borderId="0" xfId="0" applyFont="1"/>
    <xf numFmtId="168" fontId="17" fillId="2" borderId="0" xfId="0" applyFont="1" applyFill="1" applyAlignment="1">
      <alignment vertical="center" wrapText="1"/>
    </xf>
    <xf numFmtId="168" fontId="17" fillId="2" borderId="0" xfId="0" applyFont="1" applyFill="1" applyAlignment="1">
      <alignment horizontal="center" vertical="center" wrapText="1"/>
    </xf>
    <xf numFmtId="168" fontId="19" fillId="2" borderId="0" xfId="0" applyFont="1" applyFill="1" applyAlignment="1">
      <alignment vertical="center" wrapText="1"/>
    </xf>
    <xf numFmtId="168" fontId="17" fillId="2" borderId="0" xfId="0" applyFont="1" applyFill="1" applyAlignment="1">
      <alignment vertical="center"/>
    </xf>
    <xf numFmtId="168" fontId="17" fillId="2" borderId="0" xfId="0" applyFont="1" applyFill="1" applyBorder="1" applyAlignment="1">
      <alignment vertical="center" wrapText="1"/>
    </xf>
    <xf numFmtId="168" fontId="17" fillId="2" borderId="0" xfId="0" applyFont="1" applyFill="1" applyAlignment="1">
      <alignment horizontal="left" vertical="center"/>
    </xf>
    <xf numFmtId="168" fontId="17" fillId="2" borderId="0" xfId="0" applyFont="1" applyFill="1" applyBorder="1" applyAlignment="1">
      <alignment horizontal="right" vertical="center" wrapText="1"/>
    </xf>
    <xf numFmtId="168" fontId="18" fillId="2" borderId="0" xfId="0" applyFont="1" applyFill="1" applyBorder="1" applyAlignment="1">
      <alignment horizontal="right" vertical="center" wrapText="1"/>
    </xf>
    <xf numFmtId="168" fontId="22" fillId="2" borderId="0" xfId="0" applyFont="1" applyFill="1" applyAlignment="1">
      <alignment vertical="center" wrapText="1"/>
    </xf>
    <xf numFmtId="168" fontId="21" fillId="2" borderId="0" xfId="0" applyFont="1" applyFill="1" applyAlignment="1">
      <alignment vertical="center" wrapText="1"/>
    </xf>
    <xf numFmtId="168" fontId="18" fillId="2" borderId="0" xfId="0" applyFont="1" applyFill="1" applyAlignment="1">
      <alignment vertical="center" wrapText="1"/>
    </xf>
    <xf numFmtId="168" fontId="18" fillId="2" borderId="0" xfId="0" applyFont="1" applyFill="1" applyBorder="1" applyAlignment="1">
      <alignment vertical="center" wrapText="1"/>
    </xf>
    <xf numFmtId="168" fontId="18" fillId="2" borderId="0" xfId="0" applyFont="1" applyFill="1" applyAlignment="1">
      <alignment vertical="center"/>
    </xf>
    <xf numFmtId="168" fontId="22" fillId="2" borderId="0" xfId="0" applyFont="1" applyFill="1" applyAlignment="1">
      <alignment horizontal="center" vertical="center" wrapText="1"/>
    </xf>
    <xf numFmtId="168" fontId="18" fillId="2" borderId="0" xfId="0" applyFont="1" applyFill="1" applyAlignment="1">
      <alignment horizontal="left" vertical="center"/>
    </xf>
    <xf numFmtId="168" fontId="22" fillId="2" borderId="9" xfId="0" applyFont="1" applyFill="1" applyBorder="1" applyAlignment="1">
      <alignment horizontal="center" vertical="center" wrapText="1"/>
    </xf>
    <xf numFmtId="2" fontId="22" fillId="2" borderId="10" xfId="0" applyNumberFormat="1" applyFont="1" applyFill="1" applyBorder="1" applyAlignment="1">
      <alignment horizontal="center" vertical="center" wrapText="1"/>
    </xf>
    <xf numFmtId="49" fontId="25" fillId="2" borderId="12" xfId="0" applyNumberFormat="1" applyFont="1" applyFill="1" applyBorder="1" applyAlignment="1">
      <alignment horizontal="center" vertical="center" wrapText="1"/>
    </xf>
    <xf numFmtId="49" fontId="25" fillId="2" borderId="17" xfId="0" applyNumberFormat="1" applyFont="1" applyFill="1" applyBorder="1" applyAlignment="1">
      <alignment horizontal="center" vertical="center" wrapText="1"/>
    </xf>
    <xf numFmtId="49" fontId="25" fillId="2" borderId="9" xfId="0" applyNumberFormat="1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49" fontId="25" fillId="2" borderId="10" xfId="0" applyNumberFormat="1" applyFont="1" applyFill="1" applyBorder="1" applyAlignment="1">
      <alignment horizontal="center" vertical="center" wrapText="1"/>
    </xf>
    <xf numFmtId="49" fontId="25" fillId="2" borderId="2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43" fontId="22" fillId="2" borderId="1" xfId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center" vertical="center" wrapText="1"/>
    </xf>
    <xf numFmtId="44" fontId="22" fillId="2" borderId="1" xfId="2" applyFont="1" applyFill="1" applyBorder="1" applyAlignment="1">
      <alignment horizontal="right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168" fontId="18" fillId="2" borderId="1" xfId="0" applyFont="1" applyFill="1" applyBorder="1" applyAlignment="1">
      <alignment horizontal="left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 wrapText="1"/>
    </xf>
    <xf numFmtId="168" fontId="18" fillId="2" borderId="0" xfId="0" applyFont="1" applyFill="1" applyAlignment="1">
      <alignment horizontal="center" vertical="center" wrapText="1"/>
    </xf>
    <xf numFmtId="43" fontId="18" fillId="2" borderId="17" xfId="1" applyFont="1" applyFill="1" applyBorder="1" applyAlignment="1">
      <alignment horizontal="center" vertical="center" wrapText="1"/>
    </xf>
    <xf numFmtId="43" fontId="22" fillId="2" borderId="17" xfId="0" applyNumberFormat="1" applyFont="1" applyFill="1" applyBorder="1" applyAlignment="1">
      <alignment vertical="center" wrapText="1"/>
    </xf>
    <xf numFmtId="43" fontId="22" fillId="5" borderId="29" xfId="1" applyFont="1" applyFill="1" applyBorder="1" applyAlignment="1">
      <alignment vertical="center" wrapText="1"/>
    </xf>
    <xf numFmtId="43" fontId="22" fillId="5" borderId="30" xfId="1" applyFont="1" applyFill="1" applyBorder="1" applyAlignment="1">
      <alignment horizontal="right" vertical="center" wrapText="1"/>
    </xf>
    <xf numFmtId="43" fontId="22" fillId="5" borderId="30" xfId="1" applyFont="1" applyFill="1" applyBorder="1" applyAlignment="1">
      <alignment vertical="center" wrapText="1"/>
    </xf>
    <xf numFmtId="168" fontId="18" fillId="2" borderId="20" xfId="0" applyFont="1" applyFill="1" applyBorder="1" applyAlignment="1">
      <alignment vertical="center"/>
    </xf>
    <xf numFmtId="43" fontId="22" fillId="2" borderId="0" xfId="0" applyNumberFormat="1" applyFont="1" applyFill="1" applyBorder="1" applyAlignment="1">
      <alignment horizontal="right" vertical="center" wrapText="1"/>
    </xf>
    <xf numFmtId="168" fontId="22" fillId="2" borderId="0" xfId="0" applyFont="1" applyFill="1" applyBorder="1" applyAlignment="1">
      <alignment horizontal="right" vertical="center" wrapText="1"/>
    </xf>
    <xf numFmtId="168" fontId="18" fillId="2" borderId="15" xfId="0" applyFont="1" applyFill="1" applyBorder="1" applyAlignment="1">
      <alignment horizontal="right" vertical="center" wrapText="1"/>
    </xf>
    <xf numFmtId="44" fontId="18" fillId="2" borderId="23" xfId="2" applyFont="1" applyFill="1" applyBorder="1" applyAlignment="1">
      <alignment horizontal="right" vertical="center" wrapText="1"/>
    </xf>
    <xf numFmtId="43" fontId="18" fillId="2" borderId="0" xfId="0" applyNumberFormat="1" applyFont="1" applyFill="1" applyBorder="1" applyAlignment="1">
      <alignment horizontal="right" vertical="center" wrapText="1"/>
    </xf>
    <xf numFmtId="170" fontId="22" fillId="2" borderId="0" xfId="0" applyNumberFormat="1" applyFont="1" applyFill="1" applyBorder="1" applyAlignment="1">
      <alignment horizontal="right" vertical="center" wrapText="1"/>
    </xf>
    <xf numFmtId="168" fontId="18" fillId="2" borderId="27" xfId="0" applyFont="1" applyFill="1" applyBorder="1" applyAlignment="1">
      <alignment horizontal="right" vertical="center" wrapText="1"/>
    </xf>
    <xf numFmtId="2" fontId="18" fillId="2" borderId="27" xfId="0" applyNumberFormat="1" applyFont="1" applyFill="1" applyBorder="1" applyAlignment="1">
      <alignment horizontal="right" vertical="center" wrapText="1"/>
    </xf>
    <xf numFmtId="44" fontId="22" fillId="2" borderId="28" xfId="2" applyFont="1" applyFill="1" applyBorder="1" applyAlignment="1">
      <alignment horizontal="right" vertical="center" wrapText="1"/>
    </xf>
    <xf numFmtId="164" fontId="22" fillId="2" borderId="0" xfId="0" applyNumberFormat="1" applyFont="1" applyFill="1" applyBorder="1" applyAlignment="1">
      <alignment horizontal="right" vertical="center" wrapText="1"/>
    </xf>
    <xf numFmtId="168" fontId="18" fillId="2" borderId="27" xfId="0" applyNumberFormat="1" applyFont="1" applyFill="1" applyBorder="1" applyAlignment="1">
      <alignment horizontal="right" vertical="center" wrapText="1"/>
    </xf>
    <xf numFmtId="9" fontId="22" fillId="2" borderId="15" xfId="0" applyNumberFormat="1" applyFont="1" applyFill="1" applyBorder="1" applyAlignment="1">
      <alignment horizontal="right" vertical="center" wrapText="1"/>
    </xf>
    <xf numFmtId="10" fontId="18" fillId="2" borderId="27" xfId="0" applyNumberFormat="1" applyFont="1" applyFill="1" applyBorder="1" applyAlignment="1">
      <alignment horizontal="right" vertical="center" wrapText="1"/>
    </xf>
    <xf numFmtId="43" fontId="18" fillId="2" borderId="0" xfId="1" applyFont="1" applyFill="1" applyBorder="1" applyAlignment="1">
      <alignment horizontal="right" vertical="center" wrapText="1"/>
    </xf>
    <xf numFmtId="168" fontId="18" fillId="2" borderId="0" xfId="0" applyFont="1" applyFill="1" applyBorder="1" applyAlignment="1">
      <alignment horizontal="center" vertical="center" wrapText="1"/>
    </xf>
    <xf numFmtId="168" fontId="22" fillId="2" borderId="0" xfId="0" applyFont="1" applyFill="1" applyBorder="1" applyAlignment="1">
      <alignment vertical="center" wrapText="1"/>
    </xf>
    <xf numFmtId="43" fontId="18" fillId="2" borderId="0" xfId="0" applyNumberFormat="1" applyFont="1" applyFill="1" applyAlignment="1">
      <alignment vertical="center"/>
    </xf>
    <xf numFmtId="43" fontId="18" fillId="2" borderId="0" xfId="1" applyFont="1" applyFill="1" applyAlignment="1">
      <alignment vertical="center" wrapText="1"/>
    </xf>
    <xf numFmtId="168" fontId="18" fillId="2" borderId="1" xfId="0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right" vertical="center" wrapText="1"/>
    </xf>
    <xf numFmtId="168" fontId="22" fillId="2" borderId="0" xfId="0" applyFont="1" applyFill="1" applyAlignment="1">
      <alignment horizontal="left" vertical="center" wrapText="1"/>
    </xf>
    <xf numFmtId="166" fontId="22" fillId="6" borderId="1" xfId="0" applyNumberFormat="1" applyFont="1" applyFill="1" applyBorder="1" applyAlignment="1">
      <alignment horizontal="left" vertical="center" wrapText="1"/>
    </xf>
    <xf numFmtId="43" fontId="22" fillId="6" borderId="1" xfId="1" applyFont="1" applyFill="1" applyBorder="1" applyAlignment="1">
      <alignment horizontal="center" vertical="center" wrapText="1"/>
    </xf>
    <xf numFmtId="44" fontId="18" fillId="2" borderId="1" xfId="2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168" fontId="18" fillId="2" borderId="0" xfId="0" applyFont="1" applyFill="1" applyAlignment="1">
      <alignment horizontal="right"/>
    </xf>
    <xf numFmtId="2" fontId="18" fillId="2" borderId="1" xfId="0" applyNumberFormat="1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43" fontId="22" fillId="2" borderId="0" xfId="0" applyNumberFormat="1" applyFont="1" applyFill="1" applyAlignment="1">
      <alignment vertical="center" wrapText="1"/>
    </xf>
    <xf numFmtId="43" fontId="22" fillId="5" borderId="31" xfId="1" applyFont="1" applyFill="1" applyBorder="1" applyAlignment="1">
      <alignment horizontal="right" vertical="center" wrapText="1"/>
    </xf>
    <xf numFmtId="168" fontId="26" fillId="2" borderId="0" xfId="0" applyFont="1" applyFill="1" applyAlignment="1">
      <alignment horizontal="center" vertical="center" wrapText="1"/>
    </xf>
    <xf numFmtId="9" fontId="22" fillId="2" borderId="15" xfId="0" applyNumberFormat="1" applyFont="1" applyFill="1" applyBorder="1" applyAlignment="1">
      <alignment horizontal="center" vertical="center" wrapText="1"/>
    </xf>
    <xf numFmtId="2" fontId="18" fillId="2" borderId="27" xfId="0" applyNumberFormat="1" applyFont="1" applyFill="1" applyBorder="1" applyAlignment="1">
      <alignment horizontal="center" vertical="center" wrapText="1"/>
    </xf>
    <xf numFmtId="168" fontId="18" fillId="2" borderId="27" xfId="0" applyNumberFormat="1" applyFont="1" applyFill="1" applyBorder="1" applyAlignment="1">
      <alignment horizontal="center" vertical="center" wrapText="1"/>
    </xf>
    <xf numFmtId="10" fontId="18" fillId="2" borderId="27" xfId="0" applyNumberFormat="1" applyFont="1" applyFill="1" applyBorder="1" applyAlignment="1">
      <alignment horizontal="center" vertical="center" wrapText="1"/>
    </xf>
    <xf numFmtId="9" fontId="18" fillId="2" borderId="27" xfId="0" applyNumberFormat="1" applyFont="1" applyFill="1" applyBorder="1" applyAlignment="1">
      <alignment horizontal="center" vertical="center" wrapText="1"/>
    </xf>
    <xf numFmtId="168" fontId="29" fillId="2" borderId="0" xfId="0" applyFont="1" applyFill="1"/>
    <xf numFmtId="168" fontId="30" fillId="2" borderId="0" xfId="0" applyFont="1" applyFill="1"/>
    <xf numFmtId="168" fontId="18" fillId="0" borderId="29" xfId="0" applyFont="1" applyBorder="1" applyAlignment="1">
      <alignment horizontal="center"/>
    </xf>
    <xf numFmtId="44" fontId="23" fillId="2" borderId="1" xfId="2" applyFont="1" applyFill="1" applyBorder="1" applyAlignment="1">
      <alignment horizontal="left"/>
    </xf>
    <xf numFmtId="168" fontId="23" fillId="2" borderId="1" xfId="0" applyFont="1" applyFill="1" applyBorder="1"/>
    <xf numFmtId="0" fontId="23" fillId="2" borderId="1" xfId="0" applyNumberFormat="1" applyFont="1" applyFill="1" applyBorder="1" applyAlignment="1">
      <alignment horizontal="center"/>
    </xf>
    <xf numFmtId="168" fontId="27" fillId="2" borderId="1" xfId="0" applyFont="1" applyFill="1" applyBorder="1"/>
    <xf numFmtId="168" fontId="27" fillId="6" borderId="1" xfId="0" applyFont="1" applyFill="1" applyBorder="1" applyAlignment="1">
      <alignment vertical="center"/>
    </xf>
    <xf numFmtId="168" fontId="28" fillId="6" borderId="1" xfId="0" applyFont="1" applyFill="1" applyBorder="1" applyAlignment="1">
      <alignment vertical="center"/>
    </xf>
    <xf numFmtId="168" fontId="23" fillId="2" borderId="0" xfId="0" applyFont="1" applyFill="1" applyAlignment="1">
      <alignment vertical="center"/>
    </xf>
    <xf numFmtId="168" fontId="0" fillId="2" borderId="0" xfId="0" applyFill="1" applyAlignment="1">
      <alignment vertical="center"/>
    </xf>
    <xf numFmtId="44" fontId="31" fillId="2" borderId="1" xfId="2" applyFont="1" applyFill="1" applyBorder="1" applyAlignment="1">
      <alignment horizontal="left"/>
    </xf>
    <xf numFmtId="9" fontId="23" fillId="2" borderId="1" xfId="189" applyFont="1" applyFill="1" applyBorder="1" applyAlignment="1">
      <alignment horizontal="center"/>
    </xf>
    <xf numFmtId="49" fontId="25" fillId="2" borderId="4" xfId="0" applyNumberFormat="1" applyFont="1" applyFill="1" applyBorder="1" applyAlignment="1">
      <alignment horizontal="center" vertical="center" wrapText="1"/>
    </xf>
    <xf numFmtId="168" fontId="26" fillId="2" borderId="0" xfId="0" applyFont="1" applyFill="1" applyAlignment="1">
      <alignment vertical="center" wrapText="1"/>
    </xf>
    <xf numFmtId="168" fontId="26" fillId="2" borderId="0" xfId="0" applyFont="1" applyFill="1" applyAlignment="1">
      <alignment horizontal="right" vertical="center" wrapText="1"/>
    </xf>
    <xf numFmtId="168" fontId="21" fillId="2" borderId="0" xfId="0" applyFont="1" applyFill="1" applyAlignment="1">
      <alignment horizontal="left" vertical="center" wrapText="1"/>
    </xf>
    <xf numFmtId="168" fontId="21" fillId="2" borderId="0" xfId="0" applyFont="1" applyFill="1" applyAlignment="1">
      <alignment horizontal="right" vertical="top" wrapText="1"/>
    </xf>
    <xf numFmtId="169" fontId="18" fillId="2" borderId="0" xfId="1" applyNumberFormat="1" applyFont="1" applyFill="1" applyAlignment="1">
      <alignment vertical="center"/>
    </xf>
    <xf numFmtId="49" fontId="25" fillId="2" borderId="22" xfId="0" applyNumberFormat="1" applyFont="1" applyFill="1" applyBorder="1" applyAlignment="1">
      <alignment horizontal="center" vertical="center" wrapText="1"/>
    </xf>
    <xf numFmtId="49" fontId="25" fillId="2" borderId="18" xfId="0" applyNumberFormat="1" applyFont="1" applyFill="1" applyBorder="1" applyAlignment="1">
      <alignment horizontal="center" vertical="center" wrapText="1"/>
    </xf>
    <xf numFmtId="167" fontId="18" fillId="2" borderId="3" xfId="1" applyNumberFormat="1" applyFont="1" applyFill="1" applyBorder="1" applyAlignment="1">
      <alignment horizontal="right" vertical="center" wrapText="1"/>
    </xf>
    <xf numFmtId="165" fontId="32" fillId="2" borderId="1" xfId="2" applyNumberFormat="1" applyFont="1" applyFill="1" applyBorder="1" applyAlignment="1">
      <alignment horizontal="right" vertical="center" wrapText="1"/>
    </xf>
    <xf numFmtId="168" fontId="20" fillId="0" borderId="29" xfId="0" applyFont="1" applyBorder="1" applyAlignment="1">
      <alignment horizontal="center" vertical="center"/>
    </xf>
    <xf numFmtId="43" fontId="23" fillId="2" borderId="1" xfId="2" applyNumberFormat="1" applyFont="1" applyFill="1" applyBorder="1" applyAlignment="1">
      <alignment horizontal="center"/>
    </xf>
    <xf numFmtId="165" fontId="33" fillId="2" borderId="1" xfId="2" applyNumberFormat="1" applyFont="1" applyFill="1" applyBorder="1" applyAlignment="1">
      <alignment horizontal="right" vertical="center" wrapText="1"/>
    </xf>
    <xf numFmtId="168" fontId="18" fillId="2" borderId="1" xfId="0" applyNumberFormat="1" applyFont="1" applyFill="1" applyBorder="1" applyAlignment="1">
      <alignment horizontal="left" vertical="center" wrapText="1"/>
    </xf>
    <xf numFmtId="49" fontId="25" fillId="2" borderId="19" xfId="0" applyNumberFormat="1" applyFont="1" applyFill="1" applyBorder="1" applyAlignment="1">
      <alignment horizontal="center" vertical="center" wrapText="1"/>
    </xf>
    <xf numFmtId="166" fontId="22" fillId="5" borderId="1" xfId="0" applyNumberFormat="1" applyFont="1" applyFill="1" applyBorder="1" applyAlignment="1">
      <alignment horizontal="left" vertical="center" wrapText="1"/>
    </xf>
    <xf numFmtId="43" fontId="22" fillId="5" borderId="1" xfId="1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right" vertical="center" wrapText="1"/>
    </xf>
    <xf numFmtId="173" fontId="18" fillId="2" borderId="0" xfId="0" applyNumberFormat="1" applyFont="1" applyFill="1" applyBorder="1" applyAlignment="1">
      <alignment horizontal="right" vertical="center" wrapText="1"/>
    </xf>
    <xf numFmtId="0" fontId="18" fillId="2" borderId="0" xfId="0" applyNumberFormat="1" applyFont="1" applyFill="1" applyAlignment="1">
      <alignment vertical="center"/>
    </xf>
    <xf numFmtId="168" fontId="18" fillId="2" borderId="19" xfId="0" applyFont="1" applyFill="1" applyBorder="1" applyAlignment="1">
      <alignment vertical="center" wrapText="1"/>
    </xf>
    <xf numFmtId="168" fontId="18" fillId="2" borderId="1" xfId="0" applyFont="1" applyFill="1" applyBorder="1" applyAlignment="1">
      <alignment vertical="center" wrapText="1"/>
    </xf>
    <xf numFmtId="168" fontId="18" fillId="0" borderId="19" xfId="0" applyFont="1" applyBorder="1"/>
    <xf numFmtId="168" fontId="18" fillId="0" borderId="1" xfId="0" applyFont="1" applyBorder="1"/>
    <xf numFmtId="168" fontId="18" fillId="0" borderId="22" xfId="0" applyFont="1" applyBorder="1"/>
    <xf numFmtId="168" fontId="18" fillId="0" borderId="9" xfId="0" applyFont="1" applyBorder="1"/>
    <xf numFmtId="168" fontId="35" fillId="0" borderId="0" xfId="0" applyFont="1"/>
    <xf numFmtId="43" fontId="22" fillId="2" borderId="1" xfId="1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/>
    <xf numFmtId="168" fontId="23" fillId="2" borderId="1" xfId="0" applyFont="1" applyFill="1" applyBorder="1" applyAlignment="1"/>
    <xf numFmtId="168" fontId="27" fillId="2" borderId="1" xfId="0" applyFont="1" applyFill="1" applyBorder="1" applyAlignment="1"/>
    <xf numFmtId="44" fontId="34" fillId="4" borderId="1" xfId="2" applyFont="1" applyFill="1" applyBorder="1" applyAlignment="1">
      <alignment horizontal="left"/>
    </xf>
    <xf numFmtId="176" fontId="22" fillId="0" borderId="32" xfId="0" applyNumberFormat="1" applyFont="1" applyBorder="1" applyAlignment="1">
      <alignment horizontal="center"/>
    </xf>
    <xf numFmtId="168" fontId="36" fillId="2" borderId="0" xfId="0" applyFont="1" applyFill="1"/>
    <xf numFmtId="176" fontId="16" fillId="0" borderId="32" xfId="0" applyNumberFormat="1" applyFont="1" applyBorder="1" applyAlignment="1">
      <alignment horizontal="center" vertical="center"/>
    </xf>
    <xf numFmtId="171" fontId="18" fillId="2" borderId="1" xfId="1" applyNumberFormat="1" applyFont="1" applyFill="1" applyBorder="1" applyAlignment="1">
      <alignment horizontal="right" vertical="center" wrapText="1"/>
    </xf>
    <xf numFmtId="171" fontId="18" fillId="2" borderId="1" xfId="1" applyNumberFormat="1" applyFont="1" applyFill="1" applyBorder="1" applyAlignment="1">
      <alignment vertical="center" wrapText="1"/>
    </xf>
    <xf numFmtId="0" fontId="18" fillId="0" borderId="1" xfId="0" applyNumberFormat="1" applyFont="1" applyBorder="1" applyAlignment="1" applyProtection="1">
      <alignment vertical="center" wrapText="1"/>
      <protection locked="0"/>
    </xf>
    <xf numFmtId="168" fontId="16" fillId="6" borderId="1" xfId="0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 applyProtection="1">
      <alignment horizontal="right" vertical="center" wrapText="1"/>
    </xf>
    <xf numFmtId="0" fontId="18" fillId="2" borderId="2" xfId="120" applyFont="1" applyFill="1" applyBorder="1" applyAlignment="1">
      <alignment horizontal="center" vertical="center" wrapText="1"/>
    </xf>
    <xf numFmtId="0" fontId="18" fillId="2" borderId="4" xfId="120" applyFont="1" applyFill="1" applyBorder="1" applyAlignment="1">
      <alignment horizontal="center" vertical="center" wrapText="1"/>
    </xf>
    <xf numFmtId="0" fontId="22" fillId="2" borderId="0" xfId="120" applyFont="1" applyFill="1" applyAlignment="1">
      <alignment horizontal="center" vertical="center" wrapText="1"/>
    </xf>
    <xf numFmtId="0" fontId="21" fillId="2" borderId="0" xfId="120" applyFont="1" applyFill="1" applyAlignment="1">
      <alignment horizontal="left" vertical="center" wrapText="1"/>
    </xf>
    <xf numFmtId="168" fontId="23" fillId="0" borderId="1" xfId="0" applyFont="1" applyBorder="1" applyAlignment="1">
      <alignment vertical="center"/>
    </xf>
    <xf numFmtId="168" fontId="23" fillId="0" borderId="1" xfId="0" applyFont="1" applyBorder="1" applyAlignment="1">
      <alignment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168" fontId="22" fillId="2" borderId="6" xfId="0" applyFont="1" applyFill="1" applyBorder="1" applyAlignment="1">
      <alignment horizontal="center" vertical="center" wrapText="1"/>
    </xf>
    <xf numFmtId="168" fontId="22" fillId="2" borderId="7" xfId="0" applyFont="1" applyFill="1" applyBorder="1" applyAlignment="1">
      <alignment horizontal="center" vertical="center" wrapText="1"/>
    </xf>
    <xf numFmtId="2" fontId="18" fillId="2" borderId="25" xfId="0" applyNumberFormat="1" applyFont="1" applyFill="1" applyBorder="1" applyAlignment="1">
      <alignment horizontal="left" vertical="center"/>
    </xf>
    <xf numFmtId="2" fontId="18" fillId="2" borderId="15" xfId="0" applyNumberFormat="1" applyFont="1" applyFill="1" applyBorder="1" applyAlignment="1">
      <alignment horizontal="left" vertical="center"/>
    </xf>
    <xf numFmtId="2" fontId="22" fillId="2" borderId="26" xfId="0" applyNumberFormat="1" applyFont="1" applyFill="1" applyBorder="1" applyAlignment="1">
      <alignment horizontal="left" vertical="center"/>
    </xf>
    <xf numFmtId="2" fontId="22" fillId="2" borderId="27" xfId="0" applyNumberFormat="1" applyFont="1" applyFill="1" applyBorder="1" applyAlignment="1">
      <alignment horizontal="left" vertical="center"/>
    </xf>
    <xf numFmtId="2" fontId="22" fillId="2" borderId="25" xfId="0" applyNumberFormat="1" applyFont="1" applyFill="1" applyBorder="1" applyAlignment="1">
      <alignment horizontal="left" vertical="center"/>
    </xf>
    <xf numFmtId="2" fontId="22" fillId="2" borderId="15" xfId="0" applyNumberFormat="1" applyFont="1" applyFill="1" applyBorder="1" applyAlignment="1">
      <alignment horizontal="left" vertical="center"/>
    </xf>
    <xf numFmtId="2" fontId="18" fillId="2" borderId="26" xfId="0" applyNumberFormat="1" applyFont="1" applyFill="1" applyBorder="1" applyAlignment="1">
      <alignment horizontal="left" vertical="center"/>
    </xf>
    <xf numFmtId="2" fontId="18" fillId="2" borderId="27" xfId="0" applyNumberFormat="1" applyFont="1" applyFill="1" applyBorder="1" applyAlignment="1">
      <alignment horizontal="left" vertical="center"/>
    </xf>
    <xf numFmtId="168" fontId="18" fillId="2" borderId="2" xfId="0" applyFont="1" applyFill="1" applyBorder="1" applyAlignment="1">
      <alignment horizontal="center" vertical="center" wrapText="1"/>
    </xf>
    <xf numFmtId="168" fontId="18" fillId="2" borderId="4" xfId="0" applyFont="1" applyFill="1" applyBorder="1" applyAlignment="1">
      <alignment horizontal="center" vertical="center" wrapText="1"/>
    </xf>
    <xf numFmtId="168" fontId="18" fillId="2" borderId="3" xfId="0" applyFont="1" applyFill="1" applyBorder="1" applyAlignment="1">
      <alignment horizontal="center" vertical="center" wrapText="1"/>
    </xf>
    <xf numFmtId="168" fontId="19" fillId="2" borderId="0" xfId="0" applyFont="1" applyFill="1" applyAlignment="1">
      <alignment horizontal="left" vertical="center" wrapText="1"/>
    </xf>
    <xf numFmtId="1" fontId="22" fillId="2" borderId="5" xfId="0" applyNumberFormat="1" applyFont="1" applyFill="1" applyBorder="1" applyAlignment="1">
      <alignment horizontal="center" vertical="center" wrapText="1"/>
    </xf>
    <xf numFmtId="1" fontId="22" fillId="2" borderId="9" xfId="0" applyNumberFormat="1" applyFont="1" applyFill="1" applyBorder="1" applyAlignment="1">
      <alignment horizontal="center" vertical="center" wrapText="1"/>
    </xf>
    <xf numFmtId="2" fontId="22" fillId="2" borderId="15" xfId="0" applyNumberFormat="1" applyFont="1" applyFill="1" applyBorder="1" applyAlignment="1">
      <alignment horizontal="center" vertical="center" wrapText="1"/>
    </xf>
    <xf numFmtId="2" fontId="22" fillId="2" borderId="13" xfId="0" applyNumberFormat="1" applyFont="1" applyFill="1" applyBorder="1" applyAlignment="1">
      <alignment horizontal="center" vertical="center" wrapText="1"/>
    </xf>
    <xf numFmtId="2" fontId="22" fillId="2" borderId="24" xfId="0" applyNumberFormat="1" applyFont="1" applyFill="1" applyBorder="1" applyAlignment="1">
      <alignment horizontal="center" vertical="center" wrapText="1"/>
    </xf>
    <xf numFmtId="2" fontId="22" fillId="2" borderId="21" xfId="0" applyNumberFormat="1" applyFont="1" applyFill="1" applyBorder="1" applyAlignment="1">
      <alignment horizontal="center" vertical="center" wrapText="1"/>
    </xf>
    <xf numFmtId="2" fontId="22" fillId="2" borderId="16" xfId="0" applyNumberFormat="1" applyFont="1" applyFill="1" applyBorder="1" applyAlignment="1">
      <alignment horizontal="center" vertical="center" wrapText="1"/>
    </xf>
    <xf numFmtId="2" fontId="22" fillId="2" borderId="14" xfId="0" applyNumberFormat="1" applyFont="1" applyFill="1" applyBorder="1" applyAlignment="1">
      <alignment horizontal="center" vertical="center" wrapText="1"/>
    </xf>
    <xf numFmtId="43" fontId="22" fillId="2" borderId="8" xfId="1" applyFont="1" applyFill="1" applyBorder="1" applyAlignment="1">
      <alignment horizontal="center" vertical="center" wrapText="1"/>
    </xf>
    <xf numFmtId="43" fontId="22" fillId="2" borderId="11" xfId="1" applyFont="1" applyFill="1" applyBorder="1" applyAlignment="1">
      <alignment horizontal="center" vertical="center" wrapText="1"/>
    </xf>
    <xf numFmtId="168" fontId="22" fillId="2" borderId="0" xfId="0" applyFont="1" applyFill="1" applyAlignment="1">
      <alignment horizontal="left" vertical="center" wrapText="1"/>
    </xf>
    <xf numFmtId="169" fontId="22" fillId="2" borderId="8" xfId="1" applyNumberFormat="1" applyFont="1" applyFill="1" applyBorder="1" applyAlignment="1">
      <alignment horizontal="center" vertical="center" wrapText="1"/>
    </xf>
    <xf numFmtId="169" fontId="22" fillId="2" borderId="11" xfId="1" applyNumberFormat="1" applyFont="1" applyFill="1" applyBorder="1" applyAlignment="1">
      <alignment horizontal="center" vertical="center" wrapText="1"/>
    </xf>
    <xf numFmtId="168" fontId="22" fillId="2" borderId="0" xfId="0" applyFont="1" applyFill="1" applyAlignment="1">
      <alignment horizontal="center" vertical="center" wrapText="1"/>
    </xf>
  </cellXfs>
  <cellStyles count="190">
    <cellStyle name="Comma" xfId="1" builtinId="3"/>
    <cellStyle name="Comma 2" xfId="116"/>
    <cellStyle name="Comma 2 2" xfId="119"/>
    <cellStyle name="Comma 2 2 2" xfId="130"/>
    <cellStyle name="Comma 2 2 2 2" xfId="135"/>
    <cellStyle name="Comma 2 2 2 3" xfId="159"/>
    <cellStyle name="Comma 2 2 2 3 2" xfId="160"/>
    <cellStyle name="Comma 2 2 2 3 2 2" xfId="161"/>
    <cellStyle name="Comma 2 2 3" xfId="141"/>
    <cellStyle name="Comma 2 2 3 2" xfId="162"/>
    <cellStyle name="Comma 2 2 3 2 2" xfId="163"/>
    <cellStyle name="Comma 2 3" xfId="121"/>
    <cellStyle name="Comma 2 3 2" xfId="127"/>
    <cellStyle name="Comma 2 3 3" xfId="164"/>
    <cellStyle name="Comma 2 3 3 2" xfId="165"/>
    <cellStyle name="Comma 2 3 3 2 2" xfId="166"/>
    <cellStyle name="Comma 2 4" xfId="128"/>
    <cellStyle name="Comma 2 4 2" xfId="133"/>
    <cellStyle name="Comma 2 4 2 2" xfId="136"/>
    <cellStyle name="Comma 2 4 3" xfId="167"/>
    <cellStyle name="Comma 2 4 3 2" xfId="168"/>
    <cellStyle name="Comma 2 4 3 2 2" xfId="169"/>
    <cellStyle name="Comma 2 4 4" xfId="170"/>
    <cellStyle name="Comma 2 4 4 2" xfId="171"/>
    <cellStyle name="Comma 2 4 4 2 2" xfId="172"/>
    <cellStyle name="Comma 2 4 5" xfId="173"/>
    <cellStyle name="Comma 2 4 5 2" xfId="174"/>
    <cellStyle name="Comma 2 4 5 2 2" xfId="175"/>
    <cellStyle name="Comma 2 5" xfId="138"/>
    <cellStyle name="Comma 2 5 2" xfId="158"/>
    <cellStyle name="Comma 3" xfId="123"/>
    <cellStyle name="Comma 3 2" xfId="139"/>
    <cellStyle name="Comma 4" xfId="105"/>
    <cellStyle name="Comma 4 2" xfId="145"/>
    <cellStyle name="Comma 4 3" xfId="146"/>
    <cellStyle name="Comma 4 4" xfId="147"/>
    <cellStyle name="Comma 4 5" xfId="148"/>
    <cellStyle name="Comma 4 6" xfId="151"/>
    <cellStyle name="Comma 4 7" xfId="152"/>
    <cellStyle name="Comma 5" xfId="176"/>
    <cellStyle name="Currency" xfId="2" builtinId="4"/>
    <cellStyle name="Currency 2" xfId="113"/>
    <cellStyle name="Currency 2 2" xfId="131"/>
    <cellStyle name="Currency 2 3" xfId="125"/>
    <cellStyle name="Currency 3" xfId="122"/>
    <cellStyle name="Currency 3 2" xfId="143"/>
    <cellStyle name="Currency 4" xfId="177"/>
    <cellStyle name="Currency 5" xfId="178"/>
    <cellStyle name="Currency 6" xfId="179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6" builtinId="8" hidden="1"/>
    <cellStyle name="Hyperlink" xfId="108" builtinId="8" hidden="1"/>
    <cellStyle name="Hyperlink" xfId="110" builtinId="8" hidden="1"/>
    <cellStyle name="Hyperlink 2" xfId="180"/>
    <cellStyle name="Normal" xfId="0" builtinId="0"/>
    <cellStyle name="Normal 10" xfId="181"/>
    <cellStyle name="Normal 14_anakia II etapi.xls sm. defeqturi" xfId="182"/>
    <cellStyle name="Normal 2" xfId="112"/>
    <cellStyle name="Normal 2 2" xfId="120"/>
    <cellStyle name="Normal 2 2 2" xfId="126"/>
    <cellStyle name="Normal 2 2 2 2" xfId="132"/>
    <cellStyle name="Normal 2 2 3" xfId="142"/>
    <cellStyle name="Normal 2 2 3 2" xfId="183"/>
    <cellStyle name="Normal 2 2 3 2 2" xfId="184"/>
    <cellStyle name="Normal 2 2_MCXETA yazarma- Copy" xfId="185"/>
    <cellStyle name="Normal 2 3" xfId="137"/>
    <cellStyle name="Normal 2 3 2" xfId="144"/>
    <cellStyle name="Normal 2 3 3" xfId="150"/>
    <cellStyle name="Normal 2 4" xfId="115"/>
    <cellStyle name="Normal 2_---SUL--- GORI-HOSPITALI-BOLO" xfId="186"/>
    <cellStyle name="Normal 3" xfId="117"/>
    <cellStyle name="Normal 3 2" xfId="129"/>
    <cellStyle name="Normal 3 3" xfId="124"/>
    <cellStyle name="Normal 30" xfId="187"/>
    <cellStyle name="Normal 4" xfId="118"/>
    <cellStyle name="Normal 5" xfId="140"/>
    <cellStyle name="Normal 6" xfId="153"/>
    <cellStyle name="Normal 6 2" xfId="188"/>
    <cellStyle name="ParaBirimi 2" xfId="155"/>
    <cellStyle name="Percent" xfId="189" builtinId="5"/>
    <cellStyle name="Percent 2" xfId="134"/>
    <cellStyle name="Percent 3" xfId="114"/>
    <cellStyle name="Virgül 2" xfId="154"/>
    <cellStyle name="Обычный 2" xfId="156"/>
    <cellStyle name="Обычный 3" xfId="149"/>
    <cellStyle name="Обычный_HP1100 V7.0_KONVERTOR_Приват_25.06.2009" xfId="1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ojects/Sheraton/BOQ/CMC%20BOQ/chavchavadze/Block%20A,B,C_Construction%20+%20Enabling_Works/BOQ_Structural/Chavchavadze_#82a - Block_A_Constru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Unit Price Assumptions"/>
      <sheetName val="Foundation"/>
      <sheetName val="-10.470"/>
      <sheetName val="-7.410"/>
      <sheetName val="-4.350"/>
      <sheetName val="-0.100"/>
      <sheetName val="+3.300"/>
      <sheetName val="+6.700"/>
      <sheetName val="+10.100"/>
      <sheetName val="+13.500"/>
      <sheetName val="+16.900"/>
      <sheetName val="+20.300"/>
      <sheetName val="+23.700"/>
      <sheetName val="+27.100"/>
      <sheetName val="+30.500"/>
      <sheetName val="+33.900"/>
      <sheetName val="+37.300"/>
      <sheetName val="+40.700"/>
      <sheetName val="+44.100"/>
      <sheetName val="+47.500"/>
      <sheetName val="+51.000"/>
    </sheetNames>
    <sheetDataSet>
      <sheetData sheetId="0"/>
      <sheetData sheetId="1">
        <row r="6">
          <cell r="D6" t="str">
            <v>US $  Rate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1"/>
  <sheetViews>
    <sheetView tabSelected="1" topLeftCell="A12" workbookViewId="0">
      <selection activeCell="D4" sqref="D4"/>
    </sheetView>
  </sheetViews>
  <sheetFormatPr defaultColWidth="9.1171875" defaultRowHeight="14.7" x14ac:dyDescent="0.55000000000000004"/>
  <cols>
    <col min="1" max="1" width="4.87890625" style="45" customWidth="1"/>
    <col min="2" max="2" width="41.1171875" style="45" bestFit="1" customWidth="1"/>
    <col min="3" max="3" width="23.41015625" style="45" customWidth="1"/>
    <col min="4" max="4" width="19.703125" style="45" customWidth="1"/>
    <col min="5" max="5" width="16.29296875" style="45" customWidth="1"/>
    <col min="6" max="6" width="17.703125" style="11" customWidth="1"/>
    <col min="7" max="8" width="12.703125" style="11" bestFit="1" customWidth="1"/>
    <col min="9" max="16384" width="9.1171875" style="11"/>
  </cols>
  <sheetData>
    <row r="1" spans="1:6" ht="23.7" x14ac:dyDescent="0.85">
      <c r="A1" s="142" t="s">
        <v>106</v>
      </c>
      <c r="F1" s="43" t="s">
        <v>138</v>
      </c>
    </row>
    <row r="2" spans="1:6" ht="21" x14ac:dyDescent="0.75">
      <c r="A2" s="141" t="s">
        <v>110</v>
      </c>
    </row>
    <row r="3" spans="1:6" ht="15" thickBot="1" x14ac:dyDescent="0.6"/>
    <row r="4" spans="1:6" ht="27" customHeight="1" thickBot="1" x14ac:dyDescent="0.6">
      <c r="C4" s="164" t="s">
        <v>40</v>
      </c>
      <c r="D4" s="188">
        <f>'Unit Price Assumptions'!D4</f>
        <v>2.4767000000000001</v>
      </c>
      <c r="E4" s="11"/>
    </row>
    <row r="6" spans="1:6" s="12" customFormat="1" ht="33.75" customHeight="1" x14ac:dyDescent="0.4">
      <c r="A6" s="47" t="s">
        <v>17</v>
      </c>
      <c r="B6" s="47" t="s">
        <v>80</v>
      </c>
      <c r="C6" s="47" t="s">
        <v>81</v>
      </c>
      <c r="D6" s="47" t="s">
        <v>82</v>
      </c>
      <c r="E6" s="48"/>
    </row>
    <row r="7" spans="1:6" s="12" customFormat="1" x14ac:dyDescent="0.4">
      <c r="A7" s="49">
        <v>1</v>
      </c>
      <c r="B7" s="50">
        <v>2</v>
      </c>
      <c r="C7" s="50">
        <v>3</v>
      </c>
      <c r="D7" s="50">
        <v>4</v>
      </c>
      <c r="E7" s="48"/>
    </row>
    <row r="8" spans="1:6" s="12" customFormat="1" ht="24" customHeight="1" x14ac:dyDescent="0.4">
      <c r="A8" s="51">
        <v>1</v>
      </c>
      <c r="B8" s="167" t="s">
        <v>85</v>
      </c>
      <c r="C8" s="163">
        <f>D8*D4</f>
        <v>30424.97</v>
      </c>
      <c r="D8" s="128">
        <f>'Site Preparation Works'!E17</f>
        <v>12284.48</v>
      </c>
      <c r="E8" s="48"/>
    </row>
    <row r="9" spans="1:6" s="12" customFormat="1" ht="24" customHeight="1" x14ac:dyDescent="0.4">
      <c r="A9" s="51">
        <v>2</v>
      </c>
      <c r="B9" s="167" t="s">
        <v>107</v>
      </c>
      <c r="C9" s="163">
        <f>D9*$D$4</f>
        <v>58585.32</v>
      </c>
      <c r="D9" s="128">
        <f>'-13.730'!K5</f>
        <v>23654.59</v>
      </c>
      <c r="E9" s="53"/>
    </row>
    <row r="10" spans="1:6" s="12" customFormat="1" ht="24" customHeight="1" x14ac:dyDescent="0.4">
      <c r="A10" s="51">
        <v>3</v>
      </c>
      <c r="B10" s="167" t="s">
        <v>108</v>
      </c>
      <c r="C10" s="163">
        <f t="shared" ref="C10:C17" si="0">D10*$D$4</f>
        <v>3744.03</v>
      </c>
      <c r="D10" s="128">
        <f>'-10.430'!K5</f>
        <v>1511.7</v>
      </c>
      <c r="E10" s="53"/>
    </row>
    <row r="11" spans="1:6" s="12" customFormat="1" ht="24" customHeight="1" x14ac:dyDescent="0.4">
      <c r="A11" s="51">
        <v>4</v>
      </c>
      <c r="B11" s="167" t="s">
        <v>109</v>
      </c>
      <c r="C11" s="163">
        <f t="shared" si="0"/>
        <v>3744.03</v>
      </c>
      <c r="D11" s="128">
        <f>'-7.130'!K5</f>
        <v>1511.7</v>
      </c>
      <c r="E11" s="53"/>
    </row>
    <row r="12" spans="1:6" s="12" customFormat="1" ht="24" customHeight="1" x14ac:dyDescent="0.4">
      <c r="A12" s="51">
        <v>5</v>
      </c>
      <c r="B12" s="167" t="s">
        <v>120</v>
      </c>
      <c r="C12" s="163">
        <f t="shared" si="0"/>
        <v>43514.93</v>
      </c>
      <c r="D12" s="128">
        <f>'-3.230'!K4</f>
        <v>17569.72</v>
      </c>
      <c r="E12" s="53"/>
    </row>
    <row r="13" spans="1:6" s="12" customFormat="1" ht="24" customHeight="1" x14ac:dyDescent="0.4">
      <c r="A13" s="51">
        <v>6</v>
      </c>
      <c r="B13" s="167" t="s">
        <v>121</v>
      </c>
      <c r="C13" s="163">
        <f t="shared" si="0"/>
        <v>209069.52</v>
      </c>
      <c r="D13" s="128">
        <f>'+0.370'!K4</f>
        <v>84414.55</v>
      </c>
      <c r="E13" s="53"/>
    </row>
    <row r="14" spans="1:6" s="12" customFormat="1" ht="24" customHeight="1" x14ac:dyDescent="0.4">
      <c r="A14" s="51">
        <v>7</v>
      </c>
      <c r="B14" s="167" t="s">
        <v>122</v>
      </c>
      <c r="C14" s="163">
        <f t="shared" si="0"/>
        <v>206226.26</v>
      </c>
      <c r="D14" s="128">
        <f>'+3.970'!K4</f>
        <v>83266.55</v>
      </c>
      <c r="E14" s="53"/>
    </row>
    <row r="15" spans="1:6" s="12" customFormat="1" ht="24" customHeight="1" x14ac:dyDescent="0.4">
      <c r="A15" s="51">
        <v>8</v>
      </c>
      <c r="B15" s="167" t="s">
        <v>123</v>
      </c>
      <c r="C15" s="163">
        <f t="shared" si="0"/>
        <v>206055.17</v>
      </c>
      <c r="D15" s="128">
        <f>'+7.570'!K4</f>
        <v>83197.47</v>
      </c>
      <c r="E15" s="53"/>
    </row>
    <row r="16" spans="1:6" s="12" customFormat="1" ht="24" customHeight="1" x14ac:dyDescent="0.4">
      <c r="A16" s="51">
        <v>9</v>
      </c>
      <c r="B16" s="167" t="s">
        <v>124</v>
      </c>
      <c r="C16" s="163">
        <f t="shared" si="0"/>
        <v>133289.85</v>
      </c>
      <c r="D16" s="128">
        <f>'+10.870'!K4</f>
        <v>53817.52</v>
      </c>
      <c r="E16" s="53"/>
    </row>
    <row r="17" spans="1:8" s="12" customFormat="1" ht="24" customHeight="1" x14ac:dyDescent="0.4">
      <c r="A17" s="51">
        <v>10</v>
      </c>
      <c r="B17" s="167" t="s">
        <v>125</v>
      </c>
      <c r="C17" s="163">
        <f t="shared" si="0"/>
        <v>11385.07</v>
      </c>
      <c r="D17" s="128">
        <f>'+13.770'!K4</f>
        <v>4596.87</v>
      </c>
      <c r="E17" s="53"/>
    </row>
    <row r="18" spans="1:8" s="12" customFormat="1" ht="22.5" customHeight="1" x14ac:dyDescent="0.4">
      <c r="A18" s="54"/>
      <c r="B18" s="52" t="s">
        <v>126</v>
      </c>
      <c r="C18" s="166">
        <f>SUM(C8:C17)</f>
        <v>906039.15</v>
      </c>
      <c r="D18" s="46">
        <f>SUM(D8:D17)</f>
        <v>365825.15</v>
      </c>
      <c r="E18" s="55"/>
    </row>
    <row r="23" spans="1:8" s="151" customFormat="1" ht="24" customHeight="1" x14ac:dyDescent="0.5">
      <c r="A23" s="148" t="s">
        <v>97</v>
      </c>
      <c r="B23" s="149" t="s">
        <v>111</v>
      </c>
      <c r="C23" s="148" t="s">
        <v>112</v>
      </c>
      <c r="D23" s="148" t="s">
        <v>127</v>
      </c>
      <c r="E23" s="148" t="s">
        <v>113</v>
      </c>
      <c r="F23" s="148" t="s">
        <v>114</v>
      </c>
      <c r="G23" s="150"/>
      <c r="H23" s="150"/>
    </row>
    <row r="24" spans="1:8" ht="24.75" customHeight="1" x14ac:dyDescent="0.55000000000000004">
      <c r="A24" s="146">
        <v>1</v>
      </c>
      <c r="B24" s="95" t="s">
        <v>38</v>
      </c>
      <c r="C24" s="95" t="s">
        <v>48</v>
      </c>
      <c r="D24" s="165">
        <f>'-13.730'!F17+'-10.430'!F16+'-7.130'!F17+'-3.230'!F16+'-3.230'!F24+'-3.230'!F32+'+0.370'!F16+'+0.370'!F24+'+0.370'!F32+'+0.370'!F40+'+3.970'!F17+'+3.970'!F25+'+3.970'!F33+'+3.970'!F41+'+7.570'!F15+'+7.570'!F23+'+7.570'!F31+'+7.570'!F39+'+10.870'!F20+'+10.870'!F28+'+13.770'!F16</f>
        <v>21.63</v>
      </c>
      <c r="E24" s="185">
        <v>393.22</v>
      </c>
      <c r="F24" s="144">
        <f>D24*E24</f>
        <v>8505.35</v>
      </c>
      <c r="G24" s="45"/>
      <c r="H24" s="45"/>
    </row>
    <row r="25" spans="1:8" ht="21.75" customHeight="1" x14ac:dyDescent="0.55000000000000004">
      <c r="A25" s="146">
        <v>2</v>
      </c>
      <c r="B25" s="95" t="s">
        <v>39</v>
      </c>
      <c r="C25" s="95" t="s">
        <v>46</v>
      </c>
      <c r="D25" s="165">
        <f>'-13.730'!F18+'-10.430'!F17+'-7.130'!F18+'-3.230'!F17+'-3.230'!F25+'-3.230'!F33+'+0.370'!F17+'+0.370'!F25+'+0.370'!F33+'+0.370'!F41+'+3.970'!F18+'+3.970'!F26+'+3.970'!F34+'+3.970'!F42+'+7.570'!F16+'+7.570'!F24+'+7.570'!F32+'+7.570'!F40+'+10.870'!F21+'+10.870'!F29+'+13.770'!F17</f>
        <v>142.81</v>
      </c>
      <c r="E25" s="185">
        <v>393.22</v>
      </c>
      <c r="F25" s="144">
        <f>D25*E25</f>
        <v>56155.75</v>
      </c>
      <c r="G25" s="45"/>
      <c r="H25" s="45"/>
    </row>
    <row r="26" spans="1:8" ht="18" customHeight="1" x14ac:dyDescent="0.55000000000000004">
      <c r="D26" s="182" t="s">
        <v>128</v>
      </c>
      <c r="E26" s="145"/>
      <c r="F26" s="152">
        <f>SUM(F24:F25)</f>
        <v>64661.1</v>
      </c>
      <c r="G26" s="45"/>
      <c r="H26" s="45"/>
    </row>
    <row r="27" spans="1:8" x14ac:dyDescent="0.55000000000000004">
      <c r="D27" s="183" t="s">
        <v>33</v>
      </c>
      <c r="E27" s="153">
        <v>0.18</v>
      </c>
      <c r="F27" s="145">
        <f>F26*E27</f>
        <v>11639</v>
      </c>
      <c r="G27" s="45"/>
      <c r="H27" s="45"/>
    </row>
    <row r="28" spans="1:8" x14ac:dyDescent="0.55000000000000004">
      <c r="D28" s="184" t="s">
        <v>116</v>
      </c>
      <c r="E28" s="145"/>
      <c r="F28" s="147">
        <f>SUM(F26:F27)</f>
        <v>76300.100000000006</v>
      </c>
    </row>
    <row r="31" spans="1:8" x14ac:dyDescent="0.55000000000000004">
      <c r="F31" s="187">
        <f>D18-F28</f>
        <v>289525.05</v>
      </c>
      <c r="G31" s="187" t="s">
        <v>137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2"/>
  <sheetViews>
    <sheetView showGridLines="0" workbookViewId="0">
      <selection activeCell="C14" sqref="C14"/>
    </sheetView>
  </sheetViews>
  <sheetFormatPr defaultColWidth="9.1171875" defaultRowHeight="14.7" x14ac:dyDescent="0.55000000000000004"/>
  <cols>
    <col min="1" max="1" width="31" style="42" customWidth="1"/>
    <col min="2" max="2" width="31.87890625" style="42" customWidth="1"/>
    <col min="3" max="3" width="21.5859375" style="42" customWidth="1"/>
    <col min="4" max="4" width="20.1171875" style="42" customWidth="1"/>
    <col min="5" max="5" width="13.41015625" style="42" customWidth="1"/>
    <col min="6" max="6" width="9.1171875" style="7"/>
    <col min="7" max="7" width="9.87890625" style="7" bestFit="1" customWidth="1"/>
    <col min="8" max="16384" width="9.1171875" style="7"/>
  </cols>
  <sheetData>
    <row r="1" spans="1:5" ht="23.7" x14ac:dyDescent="0.85">
      <c r="A1" s="142" t="s">
        <v>106</v>
      </c>
      <c r="D1" s="43" t="s">
        <v>138</v>
      </c>
    </row>
    <row r="2" spans="1:5" ht="21" x14ac:dyDescent="0.75">
      <c r="A2" s="141" t="s">
        <v>110</v>
      </c>
    </row>
    <row r="3" spans="1:5" ht="15" thickBot="1" x14ac:dyDescent="0.6"/>
    <row r="4" spans="1:5" ht="19.350000000000001" thickBot="1" x14ac:dyDescent="0.75">
      <c r="A4" s="66" t="s">
        <v>102</v>
      </c>
      <c r="B4" s="43"/>
      <c r="C4" s="143" t="s">
        <v>129</v>
      </c>
      <c r="D4" s="186">
        <v>2.4767000000000001</v>
      </c>
    </row>
    <row r="5" spans="1:5" x14ac:dyDescent="0.55000000000000004">
      <c r="A5" s="44"/>
    </row>
    <row r="6" spans="1:5" x14ac:dyDescent="0.55000000000000004">
      <c r="A6" s="64" t="s">
        <v>80</v>
      </c>
      <c r="B6" s="65" t="s">
        <v>79</v>
      </c>
      <c r="C6" s="65" t="s">
        <v>95</v>
      </c>
      <c r="D6" s="65" t="s">
        <v>96</v>
      </c>
      <c r="E6" s="41"/>
    </row>
    <row r="7" spans="1:5" x14ac:dyDescent="0.55000000000000004">
      <c r="A7" s="95" t="s">
        <v>75</v>
      </c>
      <c r="B7" s="175" t="s">
        <v>76</v>
      </c>
      <c r="C7" s="56">
        <f>120/1.18/$D$4</f>
        <v>41.06</v>
      </c>
      <c r="D7" s="57"/>
      <c r="E7" s="41"/>
    </row>
    <row r="8" spans="1:5" x14ac:dyDescent="0.55000000000000004">
      <c r="A8" s="95" t="s">
        <v>57</v>
      </c>
      <c r="B8" s="175" t="s">
        <v>56</v>
      </c>
      <c r="C8" s="56">
        <f>145/1.18/$D$4</f>
        <v>49.61</v>
      </c>
      <c r="D8" s="57"/>
      <c r="E8" s="41"/>
    </row>
    <row r="9" spans="1:5" x14ac:dyDescent="0.55000000000000004">
      <c r="A9" s="95" t="s">
        <v>74</v>
      </c>
      <c r="B9" s="175" t="s">
        <v>73</v>
      </c>
      <c r="C9" s="56">
        <f>140/1.18/$D$4</f>
        <v>47.9</v>
      </c>
      <c r="D9" s="57"/>
      <c r="E9" s="41"/>
    </row>
    <row r="10" spans="1:5" x14ac:dyDescent="0.55000000000000004">
      <c r="A10" s="95" t="s">
        <v>38</v>
      </c>
      <c r="B10" s="95" t="s">
        <v>48</v>
      </c>
      <c r="C10" s="185">
        <v>393.22</v>
      </c>
      <c r="D10" s="58"/>
      <c r="E10" s="180" t="s">
        <v>112</v>
      </c>
    </row>
    <row r="11" spans="1:5" x14ac:dyDescent="0.55000000000000004">
      <c r="A11" s="95" t="s">
        <v>39</v>
      </c>
      <c r="B11" s="95" t="s">
        <v>46</v>
      </c>
      <c r="C11" s="185">
        <v>393.22</v>
      </c>
      <c r="D11" s="58"/>
      <c r="E11" s="180" t="s">
        <v>112</v>
      </c>
    </row>
    <row r="12" spans="1:5" x14ac:dyDescent="0.55000000000000004">
      <c r="A12" s="95" t="s">
        <v>29</v>
      </c>
      <c r="B12" s="175" t="s">
        <v>44</v>
      </c>
      <c r="C12" s="59">
        <f>25/1.18/D4</f>
        <v>8.5500000000000007</v>
      </c>
      <c r="D12" s="57"/>
      <c r="E12" s="41"/>
    </row>
    <row r="13" spans="1:5" x14ac:dyDescent="0.55000000000000004">
      <c r="A13" s="95" t="s">
        <v>37</v>
      </c>
      <c r="B13" s="175" t="s">
        <v>43</v>
      </c>
      <c r="C13" s="59">
        <f>1120/1.18/D4</f>
        <v>383.23</v>
      </c>
      <c r="D13" s="57"/>
      <c r="E13" s="41"/>
    </row>
    <row r="14" spans="1:5" x14ac:dyDescent="0.55000000000000004">
      <c r="A14" s="174" t="s">
        <v>34</v>
      </c>
      <c r="B14" s="175" t="s">
        <v>49</v>
      </c>
      <c r="C14" s="59">
        <f>650/1.18/D4</f>
        <v>222.41</v>
      </c>
      <c r="D14" s="57"/>
      <c r="E14" s="41"/>
    </row>
    <row r="15" spans="1:5" x14ac:dyDescent="0.55000000000000004">
      <c r="A15" s="95" t="s">
        <v>30</v>
      </c>
      <c r="B15" s="175" t="s">
        <v>45</v>
      </c>
      <c r="C15" s="59">
        <f>4.2/1.18/D4</f>
        <v>1.44</v>
      </c>
      <c r="D15" s="57"/>
      <c r="E15" s="41"/>
    </row>
    <row r="16" spans="1:5" x14ac:dyDescent="0.55000000000000004">
      <c r="A16" s="174" t="s">
        <v>28</v>
      </c>
      <c r="B16" s="175" t="s">
        <v>47</v>
      </c>
      <c r="C16" s="59">
        <f>77/1.18/D4</f>
        <v>26.35</v>
      </c>
      <c r="D16" s="57"/>
      <c r="E16" s="41"/>
    </row>
    <row r="17" spans="1:5" x14ac:dyDescent="0.55000000000000004">
      <c r="A17" s="176" t="s">
        <v>50</v>
      </c>
      <c r="B17" s="177" t="s">
        <v>53</v>
      </c>
      <c r="C17" s="56"/>
      <c r="D17" s="57">
        <f>95*1.25/$D$4</f>
        <v>47.95</v>
      </c>
      <c r="E17" s="41"/>
    </row>
    <row r="18" spans="1:5" x14ac:dyDescent="0.55000000000000004">
      <c r="A18" s="176" t="s">
        <v>51</v>
      </c>
      <c r="B18" s="177" t="s">
        <v>54</v>
      </c>
      <c r="C18" s="56"/>
      <c r="D18" s="57">
        <f>105*1.25/$D$4</f>
        <v>52.99</v>
      </c>
      <c r="E18" s="41"/>
    </row>
    <row r="19" spans="1:5" x14ac:dyDescent="0.55000000000000004">
      <c r="A19" s="176" t="s">
        <v>52</v>
      </c>
      <c r="B19" s="177" t="s">
        <v>55</v>
      </c>
      <c r="C19" s="56"/>
      <c r="D19" s="57">
        <f>105*1.25/$D$4</f>
        <v>52.99</v>
      </c>
      <c r="E19" s="41"/>
    </row>
    <row r="20" spans="1:5" x14ac:dyDescent="0.55000000000000004">
      <c r="A20" s="178" t="s">
        <v>58</v>
      </c>
      <c r="B20" s="177" t="s">
        <v>59</v>
      </c>
      <c r="C20" s="56"/>
      <c r="D20" s="57">
        <f>125*1.25/$D$4</f>
        <v>63.09</v>
      </c>
      <c r="E20" s="41"/>
    </row>
    <row r="21" spans="1:5" x14ac:dyDescent="0.55000000000000004">
      <c r="A21" s="178" t="s">
        <v>58</v>
      </c>
      <c r="B21" s="177" t="s">
        <v>59</v>
      </c>
      <c r="C21" s="56"/>
      <c r="D21" s="57">
        <f t="shared" ref="D21:D22" si="0">125*1.25/$D$4</f>
        <v>63.09</v>
      </c>
      <c r="E21" s="41"/>
    </row>
    <row r="22" spans="1:5" x14ac:dyDescent="0.55000000000000004">
      <c r="A22" s="179" t="s">
        <v>58</v>
      </c>
      <c r="B22" s="177" t="s">
        <v>59</v>
      </c>
      <c r="C22" s="60"/>
      <c r="D22" s="57">
        <f t="shared" si="0"/>
        <v>63.09</v>
      </c>
      <c r="E22" s="41"/>
    </row>
  </sheetData>
  <pageMargins left="0.39370078740157483" right="0.3937007874015748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5"/>
  <sheetViews>
    <sheetView workbookViewId="0">
      <selection activeCell="E17" sqref="E17"/>
    </sheetView>
  </sheetViews>
  <sheetFormatPr defaultColWidth="8.87890625" defaultRowHeight="14.7" x14ac:dyDescent="0.5"/>
  <cols>
    <col min="1" max="1" width="3.5859375" style="15" customWidth="1"/>
    <col min="2" max="2" width="29.41015625" style="22" customWidth="1"/>
    <col min="3" max="3" width="15.29296875" style="15" customWidth="1"/>
    <col min="4" max="4" width="42.87890625" style="15" customWidth="1"/>
    <col min="5" max="5" width="14.87890625" style="15" customWidth="1"/>
    <col min="6" max="6" width="10.29296875" style="15" customWidth="1"/>
    <col min="7" max="7" width="15" style="15" customWidth="1"/>
    <col min="8" max="8" width="17.87890625" style="15" bestFit="1" customWidth="1"/>
    <col min="9" max="9" width="15.703125" style="39" customWidth="1"/>
    <col min="10" max="10" width="12.29296875" style="13" customWidth="1"/>
    <col min="11" max="16384" width="8.87890625" style="13"/>
  </cols>
  <sheetData>
    <row r="1" spans="1:10" ht="19" x14ac:dyDescent="0.5">
      <c r="A1" s="197" t="s">
        <v>135</v>
      </c>
      <c r="B1" s="197"/>
      <c r="C1" s="197"/>
      <c r="D1" s="197"/>
      <c r="E1" s="25"/>
      <c r="F1" s="26"/>
      <c r="G1" s="194" t="s">
        <v>84</v>
      </c>
      <c r="H1" s="195"/>
      <c r="I1" s="195"/>
      <c r="J1" s="14"/>
    </row>
    <row r="2" spans="1:10" x14ac:dyDescent="0.5">
      <c r="A2" s="27"/>
      <c r="B2" s="15"/>
      <c r="E2" s="28"/>
      <c r="F2" s="26"/>
      <c r="G2" s="29" t="s">
        <v>19</v>
      </c>
      <c r="H2" s="30" t="s">
        <v>41</v>
      </c>
      <c r="I2" s="31" t="str">
        <f>'[1]Unit Price Assumptions'!D6</f>
        <v>US $  Rate</v>
      </c>
      <c r="J2" s="14"/>
    </row>
    <row r="3" spans="1:10" ht="15.75" customHeight="1" x14ac:dyDescent="0.5">
      <c r="A3" s="32"/>
      <c r="B3" s="196"/>
      <c r="C3" s="196"/>
      <c r="D3" s="196"/>
      <c r="E3" s="33"/>
      <c r="F3" s="32"/>
      <c r="G3" s="34">
        <f>E17</f>
        <v>12284.48</v>
      </c>
      <c r="H3" s="35">
        <f>G3*I3</f>
        <v>30424.97</v>
      </c>
      <c r="I3" s="36">
        <f>'Unit Price Assumptions'!D4</f>
        <v>2.4767000000000001</v>
      </c>
      <c r="J3" s="14"/>
    </row>
    <row r="4" spans="1:10" x14ac:dyDescent="0.5">
      <c r="E4" s="25"/>
      <c r="F4" s="25"/>
      <c r="G4" s="25"/>
      <c r="H4" s="37"/>
      <c r="I4" s="38"/>
    </row>
    <row r="7" spans="1:10" ht="16" x14ac:dyDescent="0.5">
      <c r="A7" s="61" t="s">
        <v>97</v>
      </c>
      <c r="B7" s="192" t="s">
        <v>80</v>
      </c>
      <c r="C7" s="192"/>
      <c r="D7" s="62" t="s">
        <v>79</v>
      </c>
      <c r="E7" s="63" t="s">
        <v>25</v>
      </c>
    </row>
    <row r="8" spans="1:10" ht="29.35" x14ac:dyDescent="0.5">
      <c r="A8" s="17">
        <v>1</v>
      </c>
      <c r="B8" s="191" t="s">
        <v>88</v>
      </c>
      <c r="C8" s="191"/>
      <c r="D8" s="18" t="s">
        <v>92</v>
      </c>
      <c r="E8" s="19">
        <f>2.5*1250/$I$3</f>
        <v>1261.76</v>
      </c>
    </row>
    <row r="9" spans="1:10" ht="28.5" customHeight="1" x14ac:dyDescent="0.5">
      <c r="A9" s="17">
        <v>2</v>
      </c>
      <c r="B9" s="191" t="s">
        <v>91</v>
      </c>
      <c r="C9" s="191"/>
      <c r="D9" s="18" t="s">
        <v>93</v>
      </c>
      <c r="E9" s="19">
        <f>1500/$I$3</f>
        <v>605.64</v>
      </c>
    </row>
    <row r="10" spans="1:10" ht="88" x14ac:dyDescent="0.5">
      <c r="A10" s="17">
        <v>3</v>
      </c>
      <c r="B10" s="191" t="s">
        <v>130</v>
      </c>
      <c r="C10" s="191"/>
      <c r="D10" s="18" t="s">
        <v>94</v>
      </c>
      <c r="E10" s="19">
        <f>3*1500/$I$3</f>
        <v>1816.93</v>
      </c>
    </row>
    <row r="11" spans="1:10" ht="29.35" x14ac:dyDescent="0.5">
      <c r="A11" s="17">
        <v>4</v>
      </c>
      <c r="B11" s="198" t="s">
        <v>86</v>
      </c>
      <c r="C11" s="198"/>
      <c r="D11" s="18" t="s">
        <v>98</v>
      </c>
      <c r="E11" s="19">
        <f>800/$I$3</f>
        <v>323.01</v>
      </c>
      <c r="H11" s="24"/>
      <c r="I11" s="40"/>
    </row>
    <row r="12" spans="1:10" ht="28.5" customHeight="1" x14ac:dyDescent="0.5">
      <c r="A12" s="17">
        <v>5</v>
      </c>
      <c r="B12" s="199" t="s">
        <v>87</v>
      </c>
      <c r="C12" s="199"/>
      <c r="D12" s="18" t="s">
        <v>99</v>
      </c>
      <c r="E12" s="19">
        <f>1000/$I$3</f>
        <v>403.76</v>
      </c>
    </row>
    <row r="13" spans="1:10" ht="50.25" customHeight="1" x14ac:dyDescent="0.5">
      <c r="A13" s="17">
        <v>6</v>
      </c>
      <c r="B13" s="191" t="s">
        <v>131</v>
      </c>
      <c r="C13" s="191"/>
      <c r="D13" s="18" t="s">
        <v>132</v>
      </c>
      <c r="E13" s="19">
        <f>25*300/$I$3</f>
        <v>3028.22</v>
      </c>
    </row>
    <row r="14" spans="1:10" ht="44" x14ac:dyDescent="0.5">
      <c r="A14" s="17">
        <v>7</v>
      </c>
      <c r="B14" s="191" t="s">
        <v>133</v>
      </c>
      <c r="C14" s="191"/>
      <c r="D14" s="18" t="s">
        <v>134</v>
      </c>
      <c r="E14" s="19">
        <f>2500/$I$3</f>
        <v>1009.41</v>
      </c>
    </row>
    <row r="15" spans="1:10" ht="44" x14ac:dyDescent="0.5">
      <c r="A15" s="17">
        <v>8</v>
      </c>
      <c r="B15" s="191" t="s">
        <v>89</v>
      </c>
      <c r="C15" s="191"/>
      <c r="D15" s="18" t="s">
        <v>100</v>
      </c>
      <c r="E15" s="19">
        <f>6000/$I$3</f>
        <v>2422.58</v>
      </c>
    </row>
    <row r="16" spans="1:10" ht="44" x14ac:dyDescent="0.5">
      <c r="A16" s="17">
        <v>9</v>
      </c>
      <c r="B16" s="191" t="s">
        <v>90</v>
      </c>
      <c r="C16" s="191"/>
      <c r="D16" s="18" t="s">
        <v>101</v>
      </c>
      <c r="E16" s="19">
        <f>3500/$I$3</f>
        <v>1413.17</v>
      </c>
    </row>
    <row r="17" spans="1:9" ht="24" customHeight="1" x14ac:dyDescent="0.5">
      <c r="A17" s="20"/>
      <c r="B17" s="193" t="s">
        <v>136</v>
      </c>
      <c r="C17" s="193"/>
      <c r="D17" s="193"/>
      <c r="E17" s="21">
        <f>SUM(E8:E16)</f>
        <v>12284.48</v>
      </c>
    </row>
    <row r="19" spans="1:9" x14ac:dyDescent="0.5">
      <c r="I19" s="15"/>
    </row>
    <row r="20" spans="1:9" x14ac:dyDescent="0.5">
      <c r="B20" s="23"/>
      <c r="I20" s="15"/>
    </row>
    <row r="21" spans="1:9" x14ac:dyDescent="0.5">
      <c r="B21" s="23"/>
      <c r="I21" s="15"/>
    </row>
    <row r="22" spans="1:9" x14ac:dyDescent="0.5">
      <c r="B22" s="23"/>
      <c r="I22" s="15"/>
    </row>
    <row r="23" spans="1:9" x14ac:dyDescent="0.5">
      <c r="B23" s="23"/>
    </row>
    <row r="24" spans="1:9" x14ac:dyDescent="0.5">
      <c r="B24" s="23"/>
    </row>
    <row r="25" spans="1:9" x14ac:dyDescent="0.5">
      <c r="B25" s="23"/>
    </row>
    <row r="26" spans="1:9" x14ac:dyDescent="0.5">
      <c r="B26" s="23"/>
    </row>
    <row r="27" spans="1:9" x14ac:dyDescent="0.5">
      <c r="B27" s="23"/>
    </row>
    <row r="28" spans="1:9" x14ac:dyDescent="0.5">
      <c r="B28" s="23"/>
    </row>
    <row r="29" spans="1:9" x14ac:dyDescent="0.5">
      <c r="B29" s="23"/>
    </row>
    <row r="30" spans="1:9" x14ac:dyDescent="0.5">
      <c r="B30" s="23"/>
    </row>
    <row r="31" spans="1:9" x14ac:dyDescent="0.5">
      <c r="B31" s="23"/>
    </row>
    <row r="32" spans="1:9" x14ac:dyDescent="0.5">
      <c r="B32" s="23"/>
    </row>
    <row r="33" spans="2:2" x14ac:dyDescent="0.5">
      <c r="B33" s="23"/>
    </row>
    <row r="34" spans="2:2" x14ac:dyDescent="0.5">
      <c r="B34" s="23"/>
    </row>
    <row r="35" spans="2:2" x14ac:dyDescent="0.5">
      <c r="B35" s="23"/>
    </row>
  </sheetData>
  <mergeCells count="14">
    <mergeCell ref="B15:C15"/>
    <mergeCell ref="B16:C16"/>
    <mergeCell ref="B7:C7"/>
    <mergeCell ref="B17:D17"/>
    <mergeCell ref="G1:I1"/>
    <mergeCell ref="B3:D3"/>
    <mergeCell ref="A1:D1"/>
    <mergeCell ref="B8:C8"/>
    <mergeCell ref="B9:C9"/>
    <mergeCell ref="B10:C10"/>
    <mergeCell ref="B11:C11"/>
    <mergeCell ref="B12:C12"/>
    <mergeCell ref="B13:C13"/>
    <mergeCell ref="B14:C14"/>
  </mergeCells>
  <pageMargins left="0.2" right="0.2" top="0.5" bottom="0.2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zoomScalePageLayoutView="115" workbookViewId="0">
      <selection activeCell="I11" sqref="I11"/>
    </sheetView>
  </sheetViews>
  <sheetFormatPr defaultColWidth="8.87890625" defaultRowHeight="10.7" x14ac:dyDescent="0.5"/>
  <cols>
    <col min="1" max="1" width="3.29296875" style="70" customWidth="1"/>
    <col min="2" max="2" width="32" style="72" customWidth="1"/>
    <col min="3" max="3" width="37.87890625" style="72" customWidth="1"/>
    <col min="4" max="4" width="7" style="70" customWidth="1"/>
    <col min="5" max="5" width="11.5859375" style="70" customWidth="1"/>
    <col min="6" max="6" width="9.87890625" style="70" bestFit="1" customWidth="1"/>
    <col min="7" max="7" width="8.703125" style="70" customWidth="1"/>
    <col min="8" max="8" width="13.1171875" style="70" bestFit="1" customWidth="1"/>
    <col min="9" max="9" width="10" style="70" customWidth="1"/>
    <col min="10" max="10" width="11.87890625" style="70" bestFit="1" customWidth="1"/>
    <col min="11" max="11" width="12.41015625" style="70" bestFit="1" customWidth="1"/>
    <col min="12" max="12" width="17.87890625" style="70" bestFit="1" customWidth="1"/>
    <col min="13" max="13" width="14.5859375" style="16" bestFit="1" customWidth="1"/>
    <col min="14" max="17" width="8.87890625" style="70"/>
    <col min="18" max="18" width="8.87890625" style="4"/>
    <col min="19" max="19" width="10.703125" style="4" bestFit="1" customWidth="1"/>
    <col min="20" max="16384" width="8.87890625" style="4"/>
  </cols>
  <sheetData>
    <row r="2" spans="1:17" ht="21" x14ac:dyDescent="0.55000000000000004">
      <c r="A2" s="67"/>
      <c r="B2" s="43" t="s">
        <v>138</v>
      </c>
      <c r="C2" s="156" t="s">
        <v>16</v>
      </c>
      <c r="D2" s="155"/>
      <c r="E2" s="155"/>
      <c r="F2" s="155"/>
      <c r="G2" s="155"/>
      <c r="H2" s="155"/>
      <c r="I2" s="69"/>
      <c r="J2" s="67"/>
      <c r="K2" s="77"/>
      <c r="L2" s="77"/>
      <c r="M2" s="122"/>
    </row>
    <row r="3" spans="1:17" ht="12" customHeight="1" x14ac:dyDescent="0.5">
      <c r="A3" s="68"/>
      <c r="B3" s="67"/>
      <c r="C3" s="67"/>
      <c r="D3" s="68"/>
      <c r="E3" s="67"/>
      <c r="F3" s="67"/>
      <c r="G3" s="69"/>
      <c r="H3" s="67"/>
      <c r="I3" s="69"/>
      <c r="J3" s="67"/>
      <c r="K3" s="212" t="s">
        <v>18</v>
      </c>
      <c r="L3" s="213"/>
      <c r="M3" s="214"/>
    </row>
    <row r="4" spans="1:17" ht="21" customHeight="1" x14ac:dyDescent="0.5">
      <c r="A4" s="68"/>
      <c r="B4" s="76" t="s">
        <v>103</v>
      </c>
      <c r="C4" s="67"/>
      <c r="D4" s="215"/>
      <c r="E4" s="215"/>
      <c r="F4" s="215"/>
      <c r="G4" s="215"/>
      <c r="H4" s="215"/>
      <c r="I4" s="215"/>
      <c r="J4" s="67"/>
      <c r="K4" s="123" t="s">
        <v>19</v>
      </c>
      <c r="L4" s="123" t="s">
        <v>41</v>
      </c>
      <c r="M4" s="92" t="str">
        <f ca="1">'-13.730'!M4</f>
        <v>US $  Rate</v>
      </c>
    </row>
    <row r="5" spans="1:17" ht="14.7" x14ac:dyDescent="0.5">
      <c r="A5" s="67"/>
      <c r="B5" s="67"/>
      <c r="C5" s="67"/>
      <c r="J5" s="67"/>
      <c r="K5" s="128">
        <f>M26</f>
        <v>23654.59</v>
      </c>
      <c r="L5" s="129">
        <f>K5*M5</f>
        <v>58585.32</v>
      </c>
      <c r="M5" s="190">
        <f>'Unit Price Assumptions'!D4</f>
        <v>2.4767000000000001</v>
      </c>
    </row>
    <row r="6" spans="1:17" ht="14.7" x14ac:dyDescent="0.5">
      <c r="A6" s="79"/>
      <c r="B6" s="81"/>
      <c r="C6" s="81"/>
      <c r="D6" s="79"/>
      <c r="E6" s="79"/>
      <c r="F6" s="79"/>
      <c r="G6" s="79"/>
      <c r="H6" s="79"/>
      <c r="I6" s="79"/>
      <c r="J6" s="79"/>
      <c r="K6" s="79"/>
      <c r="L6" s="79"/>
      <c r="M6" s="39"/>
      <c r="N6" s="79"/>
    </row>
    <row r="7" spans="1:17" ht="15" thickBot="1" x14ac:dyDescent="0.55000000000000004">
      <c r="A7" s="79"/>
      <c r="B7" s="81"/>
      <c r="C7" s="81"/>
      <c r="D7" s="79"/>
      <c r="E7" s="79"/>
      <c r="F7" s="79"/>
      <c r="G7" s="79"/>
      <c r="H7" s="79"/>
      <c r="I7" s="79"/>
      <c r="J7" s="79"/>
      <c r="K7" s="79"/>
      <c r="L7" s="79"/>
      <c r="M7" s="39"/>
      <c r="N7" s="79"/>
    </row>
    <row r="8" spans="1:17" ht="24.75" customHeight="1" x14ac:dyDescent="0.5">
      <c r="A8" s="216" t="s">
        <v>97</v>
      </c>
      <c r="B8" s="218" t="s">
        <v>20</v>
      </c>
      <c r="C8" s="220" t="s">
        <v>42</v>
      </c>
      <c r="D8" s="222" t="s">
        <v>31</v>
      </c>
      <c r="E8" s="202" t="s">
        <v>21</v>
      </c>
      <c r="F8" s="203"/>
      <c r="G8" s="202" t="s">
        <v>22</v>
      </c>
      <c r="H8" s="203"/>
      <c r="I8" s="202" t="s">
        <v>23</v>
      </c>
      <c r="J8" s="203"/>
      <c r="K8" s="202" t="s">
        <v>24</v>
      </c>
      <c r="L8" s="203"/>
      <c r="M8" s="224" t="s">
        <v>18</v>
      </c>
      <c r="N8" s="79"/>
    </row>
    <row r="9" spans="1:17" ht="48" customHeight="1" x14ac:dyDescent="0.5">
      <c r="A9" s="217"/>
      <c r="B9" s="219"/>
      <c r="C9" s="221"/>
      <c r="D9" s="223"/>
      <c r="E9" s="82" t="s">
        <v>115</v>
      </c>
      <c r="F9" s="83" t="s">
        <v>18</v>
      </c>
      <c r="G9" s="82" t="s">
        <v>104</v>
      </c>
      <c r="H9" s="83" t="s">
        <v>18</v>
      </c>
      <c r="I9" s="82" t="s">
        <v>104</v>
      </c>
      <c r="J9" s="83" t="s">
        <v>18</v>
      </c>
      <c r="K9" s="82" t="s">
        <v>32</v>
      </c>
      <c r="L9" s="83" t="s">
        <v>18</v>
      </c>
      <c r="M9" s="225"/>
      <c r="N9" s="79"/>
    </row>
    <row r="10" spans="1:17" ht="14.7" x14ac:dyDescent="0.5">
      <c r="A10" s="84" t="s">
        <v>1</v>
      </c>
      <c r="B10" s="200" t="s">
        <v>13</v>
      </c>
      <c r="C10" s="201"/>
      <c r="D10" s="85" t="s">
        <v>2</v>
      </c>
      <c r="E10" s="86" t="s">
        <v>3</v>
      </c>
      <c r="F10" s="87" t="s">
        <v>14</v>
      </c>
      <c r="G10" s="86" t="s">
        <v>4</v>
      </c>
      <c r="H10" s="85" t="s">
        <v>5</v>
      </c>
      <c r="I10" s="86" t="s">
        <v>6</v>
      </c>
      <c r="J10" s="87" t="s">
        <v>7</v>
      </c>
      <c r="K10" s="86" t="s">
        <v>8</v>
      </c>
      <c r="L10" s="88" t="s">
        <v>9</v>
      </c>
      <c r="M10" s="89" t="s">
        <v>10</v>
      </c>
      <c r="N10" s="79"/>
    </row>
    <row r="11" spans="1:17" s="1" customFormat="1" ht="29.35" x14ac:dyDescent="0.5">
      <c r="A11" s="94">
        <v>1</v>
      </c>
      <c r="B11" s="126" t="s">
        <v>72</v>
      </c>
      <c r="C11" s="126" t="s">
        <v>78</v>
      </c>
      <c r="D11" s="91" t="s">
        <v>11</v>
      </c>
      <c r="E11" s="91"/>
      <c r="F11" s="127">
        <v>101</v>
      </c>
      <c r="G11" s="92"/>
      <c r="H11" s="91">
        <f t="shared" ref="H11" si="0">F11*G11</f>
        <v>0</v>
      </c>
      <c r="I11" s="92">
        <f>'Unit Price Assumptions'!D19</f>
        <v>52.99</v>
      </c>
      <c r="J11" s="91">
        <f>F11*I11</f>
        <v>5351.99</v>
      </c>
      <c r="K11" s="92">
        <v>0</v>
      </c>
      <c r="L11" s="91">
        <f>F11*K11</f>
        <v>0</v>
      </c>
      <c r="M11" s="93">
        <f>H11+J11+L11</f>
        <v>5351.99</v>
      </c>
      <c r="N11" s="75"/>
      <c r="O11" s="69"/>
      <c r="P11" s="69"/>
      <c r="Q11" s="69"/>
    </row>
    <row r="12" spans="1:17" ht="14.7" x14ac:dyDescent="0.5">
      <c r="A12" s="94"/>
      <c r="B12" s="95" t="s">
        <v>74</v>
      </c>
      <c r="C12" s="95" t="s">
        <v>77</v>
      </c>
      <c r="D12" s="96" t="s">
        <v>11</v>
      </c>
      <c r="E12" s="97">
        <v>1.0149999999999999</v>
      </c>
      <c r="F12" s="91">
        <f>E12*F11</f>
        <v>102.52</v>
      </c>
      <c r="G12" s="92">
        <f>'Unit Price Assumptions'!C9</f>
        <v>47.9</v>
      </c>
      <c r="H12" s="91">
        <f>F12*G12</f>
        <v>4910.71</v>
      </c>
      <c r="I12" s="92"/>
      <c r="J12" s="91">
        <f t="shared" ref="J12:J19" si="1">F12*I12</f>
        <v>0</v>
      </c>
      <c r="K12" s="92"/>
      <c r="L12" s="91">
        <f t="shared" ref="L12:L19" si="2">F12*K12</f>
        <v>0</v>
      </c>
      <c r="M12" s="93">
        <f t="shared" ref="M12:M19" si="3">H12+J12+L12</f>
        <v>4910.71</v>
      </c>
      <c r="N12" s="79"/>
    </row>
    <row r="13" spans="1:17" ht="14.7" x14ac:dyDescent="0.5">
      <c r="A13" s="94"/>
      <c r="B13" s="95" t="s">
        <v>75</v>
      </c>
      <c r="C13" s="95" t="s">
        <v>76</v>
      </c>
      <c r="D13" s="96" t="s">
        <v>11</v>
      </c>
      <c r="E13" s="97">
        <v>1.0149999999999999</v>
      </c>
      <c r="F13" s="91">
        <f>E13*20</f>
        <v>20.3</v>
      </c>
      <c r="G13" s="92">
        <f>'Unit Price Assumptions'!C7</f>
        <v>41.06</v>
      </c>
      <c r="H13" s="91">
        <f t="shared" ref="H13:H19" si="4">F13*G13</f>
        <v>833.52</v>
      </c>
      <c r="I13" s="92"/>
      <c r="J13" s="91"/>
      <c r="K13" s="92"/>
      <c r="L13" s="91"/>
      <c r="M13" s="93">
        <f t="shared" si="3"/>
        <v>833.52</v>
      </c>
      <c r="N13" s="79"/>
    </row>
    <row r="14" spans="1:17" ht="14.7" x14ac:dyDescent="0.5">
      <c r="A14" s="94"/>
      <c r="B14" s="95" t="s">
        <v>29</v>
      </c>
      <c r="C14" s="95" t="s">
        <v>44</v>
      </c>
      <c r="D14" s="96" t="s">
        <v>15</v>
      </c>
      <c r="E14" s="97">
        <v>0.57999999999999996</v>
      </c>
      <c r="F14" s="91">
        <f>E14*F11</f>
        <v>58.58</v>
      </c>
      <c r="G14" s="92">
        <f>'Unit Price Assumptions'!C12</f>
        <v>8.5500000000000007</v>
      </c>
      <c r="H14" s="91">
        <f t="shared" si="4"/>
        <v>500.86</v>
      </c>
      <c r="I14" s="92"/>
      <c r="J14" s="91">
        <f t="shared" si="1"/>
        <v>0</v>
      </c>
      <c r="K14" s="92"/>
      <c r="L14" s="91">
        <f t="shared" si="2"/>
        <v>0</v>
      </c>
      <c r="M14" s="93">
        <f t="shared" si="3"/>
        <v>500.86</v>
      </c>
      <c r="N14" s="79"/>
    </row>
    <row r="15" spans="1:17" ht="14.7" x14ac:dyDescent="0.5">
      <c r="A15" s="94"/>
      <c r="B15" s="95" t="s">
        <v>37</v>
      </c>
      <c r="C15" s="95" t="s">
        <v>43</v>
      </c>
      <c r="D15" s="96" t="s">
        <v>11</v>
      </c>
      <c r="E15" s="97">
        <v>0.02</v>
      </c>
      <c r="F15" s="91">
        <f>E15*F11</f>
        <v>2.02</v>
      </c>
      <c r="G15" s="92">
        <f>'Unit Price Assumptions'!C13</f>
        <v>383.23</v>
      </c>
      <c r="H15" s="91">
        <f t="shared" si="4"/>
        <v>774.12</v>
      </c>
      <c r="I15" s="92"/>
      <c r="J15" s="91">
        <f t="shared" si="1"/>
        <v>0</v>
      </c>
      <c r="K15" s="92"/>
      <c r="L15" s="91">
        <f t="shared" si="2"/>
        <v>0</v>
      </c>
      <c r="M15" s="93">
        <f t="shared" si="3"/>
        <v>774.12</v>
      </c>
      <c r="N15" s="79"/>
    </row>
    <row r="16" spans="1:17" ht="14.7" x14ac:dyDescent="0.5">
      <c r="A16" s="94"/>
      <c r="B16" s="95" t="s">
        <v>30</v>
      </c>
      <c r="C16" s="95" t="s">
        <v>45</v>
      </c>
      <c r="D16" s="96" t="s">
        <v>12</v>
      </c>
      <c r="E16" s="97">
        <v>2.5</v>
      </c>
      <c r="F16" s="91">
        <f>E16*F11</f>
        <v>252.5</v>
      </c>
      <c r="G16" s="92">
        <f>'Unit Price Assumptions'!C15</f>
        <v>1.44</v>
      </c>
      <c r="H16" s="91">
        <f t="shared" si="4"/>
        <v>363.6</v>
      </c>
      <c r="I16" s="92"/>
      <c r="J16" s="91">
        <f t="shared" si="1"/>
        <v>0</v>
      </c>
      <c r="K16" s="92"/>
      <c r="L16" s="91">
        <f t="shared" si="2"/>
        <v>0</v>
      </c>
      <c r="M16" s="93">
        <f t="shared" si="3"/>
        <v>363.6</v>
      </c>
      <c r="N16" s="79"/>
    </row>
    <row r="17" spans="1:17" ht="14.7" x14ac:dyDescent="0.5">
      <c r="A17" s="94"/>
      <c r="B17" s="95" t="s">
        <v>38</v>
      </c>
      <c r="C17" s="95" t="s">
        <v>48</v>
      </c>
      <c r="D17" s="96" t="s">
        <v>35</v>
      </c>
      <c r="E17" s="97">
        <v>1.03</v>
      </c>
      <c r="F17" s="91">
        <f>0.145*E17</f>
        <v>0.15</v>
      </c>
      <c r="G17" s="92">
        <f>'Unit Price Assumptions'!C10</f>
        <v>393.22</v>
      </c>
      <c r="H17" s="91">
        <f t="shared" si="4"/>
        <v>58.98</v>
      </c>
      <c r="I17" s="92">
        <f>'Unit Price Assumptions'!D10</f>
        <v>0</v>
      </c>
      <c r="J17" s="91">
        <f>F17*I17</f>
        <v>0</v>
      </c>
      <c r="K17" s="92"/>
      <c r="L17" s="91">
        <f t="shared" si="2"/>
        <v>0</v>
      </c>
      <c r="M17" s="93">
        <f t="shared" si="3"/>
        <v>58.98</v>
      </c>
      <c r="N17" s="79"/>
    </row>
    <row r="18" spans="1:17" ht="14.7" x14ac:dyDescent="0.5">
      <c r="A18" s="94"/>
      <c r="B18" s="95" t="s">
        <v>39</v>
      </c>
      <c r="C18" s="95" t="s">
        <v>46</v>
      </c>
      <c r="D18" s="96" t="s">
        <v>35</v>
      </c>
      <c r="E18" s="97">
        <v>1.03</v>
      </c>
      <c r="F18" s="91">
        <f>E18*6.755</f>
        <v>6.96</v>
      </c>
      <c r="G18" s="92">
        <f>'Unit Price Assumptions'!C11</f>
        <v>393.22</v>
      </c>
      <c r="H18" s="91">
        <f t="shared" si="4"/>
        <v>2736.81</v>
      </c>
      <c r="I18" s="92">
        <f>'Unit Price Assumptions'!D11</f>
        <v>0</v>
      </c>
      <c r="J18" s="91">
        <f>F18*I18</f>
        <v>0</v>
      </c>
      <c r="K18" s="92"/>
      <c r="L18" s="91">
        <f t="shared" si="2"/>
        <v>0</v>
      </c>
      <c r="M18" s="93">
        <f t="shared" si="3"/>
        <v>2736.81</v>
      </c>
      <c r="N18" s="79"/>
    </row>
    <row r="19" spans="1:17" ht="15" thickBot="1" x14ac:dyDescent="0.55000000000000004">
      <c r="A19" s="94"/>
      <c r="B19" s="95" t="s">
        <v>28</v>
      </c>
      <c r="C19" s="95" t="s">
        <v>47</v>
      </c>
      <c r="D19" s="96"/>
      <c r="E19" s="92">
        <v>0.39</v>
      </c>
      <c r="F19" s="91">
        <f>E19*F11</f>
        <v>39.39</v>
      </c>
      <c r="G19" s="92">
        <f>'Unit Price Assumptions'!C16</f>
        <v>26.35</v>
      </c>
      <c r="H19" s="91">
        <f t="shared" si="4"/>
        <v>1037.93</v>
      </c>
      <c r="I19" s="92"/>
      <c r="J19" s="91">
        <f t="shared" si="1"/>
        <v>0</v>
      </c>
      <c r="K19" s="92"/>
      <c r="L19" s="91">
        <f t="shared" si="2"/>
        <v>0</v>
      </c>
      <c r="M19" s="93">
        <f t="shared" si="3"/>
        <v>1037.93</v>
      </c>
      <c r="N19" s="79"/>
    </row>
    <row r="20" spans="1:17" ht="15" thickBot="1" x14ac:dyDescent="0.55000000000000004">
      <c r="A20" s="79"/>
      <c r="B20" s="77"/>
      <c r="C20" s="77"/>
      <c r="D20" s="98"/>
      <c r="E20" s="99"/>
      <c r="F20" s="100"/>
      <c r="G20" s="75"/>
      <c r="H20" s="101">
        <f>SUM(H11:H19)</f>
        <v>11216.53</v>
      </c>
      <c r="I20" s="102"/>
      <c r="J20" s="103">
        <f>SUM(J11:J19)</f>
        <v>5351.99</v>
      </c>
      <c r="K20" s="102"/>
      <c r="L20" s="103">
        <f>SUM(L11:L19)</f>
        <v>0</v>
      </c>
      <c r="M20" s="102">
        <f>SUM(M11:M19)</f>
        <v>16568.52</v>
      </c>
      <c r="N20" s="104"/>
    </row>
    <row r="21" spans="1:17" s="2" customFormat="1" ht="15" customHeight="1" x14ac:dyDescent="0.5">
      <c r="A21" s="74"/>
      <c r="B21" s="74"/>
      <c r="C21" s="74"/>
      <c r="D21" s="74"/>
      <c r="E21" s="74"/>
      <c r="F21" s="105"/>
      <c r="G21" s="106"/>
      <c r="H21" s="208" t="s">
        <v>26</v>
      </c>
      <c r="I21" s="209"/>
      <c r="J21" s="107"/>
      <c r="K21" s="136">
        <v>0.11</v>
      </c>
      <c r="L21" s="107"/>
      <c r="M21" s="108">
        <f>M20*K21</f>
        <v>1822.54</v>
      </c>
      <c r="N21" s="74"/>
      <c r="O21" s="73"/>
      <c r="P21" s="73"/>
      <c r="Q21" s="73"/>
    </row>
    <row r="22" spans="1:17" s="2" customFormat="1" ht="15" customHeight="1" thickBot="1" x14ac:dyDescent="0.55000000000000004">
      <c r="A22" s="74"/>
      <c r="B22" s="74"/>
      <c r="C22" s="74"/>
      <c r="D22" s="109"/>
      <c r="E22" s="110"/>
      <c r="F22" s="105"/>
      <c r="G22" s="105"/>
      <c r="H22" s="210" t="s">
        <v>27</v>
      </c>
      <c r="I22" s="211"/>
      <c r="J22" s="111"/>
      <c r="K22" s="140" t="str">
        <f>K24</f>
        <v>USD</v>
      </c>
      <c r="L22" s="111"/>
      <c r="M22" s="113">
        <f>M20+M21</f>
        <v>18391.060000000001</v>
      </c>
      <c r="N22" s="74"/>
      <c r="O22" s="73"/>
      <c r="P22" s="73"/>
      <c r="Q22" s="73"/>
    </row>
    <row r="23" spans="1:17" s="2" customFormat="1" ht="14.7" x14ac:dyDescent="0.5">
      <c r="A23" s="74"/>
      <c r="B23" s="74"/>
      <c r="C23" s="74"/>
      <c r="D23" s="109"/>
      <c r="E23" s="110"/>
      <c r="F23" s="105"/>
      <c r="G23" s="106"/>
      <c r="H23" s="208" t="s">
        <v>67</v>
      </c>
      <c r="I23" s="209"/>
      <c r="J23" s="107"/>
      <c r="K23" s="136">
        <v>0.09</v>
      </c>
      <c r="L23" s="107"/>
      <c r="M23" s="108">
        <f>M22*K23</f>
        <v>1655.2</v>
      </c>
      <c r="N23" s="74"/>
      <c r="O23" s="73"/>
      <c r="P23" s="73"/>
      <c r="Q23" s="73"/>
    </row>
    <row r="24" spans="1:17" s="2" customFormat="1" ht="15" thickBot="1" x14ac:dyDescent="0.55000000000000004">
      <c r="A24" s="74"/>
      <c r="B24" s="74"/>
      <c r="C24" s="74"/>
      <c r="D24" s="109"/>
      <c r="E24" s="110"/>
      <c r="F24" s="114"/>
      <c r="G24" s="106"/>
      <c r="H24" s="210" t="s">
        <v>27</v>
      </c>
      <c r="I24" s="211"/>
      <c r="J24" s="111"/>
      <c r="K24" s="140" t="s">
        <v>19</v>
      </c>
      <c r="L24" s="111"/>
      <c r="M24" s="113">
        <f>M22+M23</f>
        <v>20046.259999999998</v>
      </c>
      <c r="N24" s="74"/>
      <c r="O24" s="73"/>
      <c r="P24" s="73"/>
      <c r="Q24" s="73"/>
    </row>
    <row r="25" spans="1:17" s="2" customFormat="1" ht="14.7" x14ac:dyDescent="0.5">
      <c r="A25" s="74"/>
      <c r="B25" s="74"/>
      <c r="C25" s="74"/>
      <c r="D25" s="74"/>
      <c r="E25" s="74"/>
      <c r="F25" s="74"/>
      <c r="G25" s="106"/>
      <c r="H25" s="204" t="s">
        <v>33</v>
      </c>
      <c r="I25" s="205"/>
      <c r="J25" s="107"/>
      <c r="K25" s="136">
        <v>0.18</v>
      </c>
      <c r="L25" s="107"/>
      <c r="M25" s="108">
        <f>M24*K25</f>
        <v>3608.33</v>
      </c>
      <c r="N25" s="74"/>
      <c r="O25" s="73"/>
      <c r="P25" s="73"/>
      <c r="Q25" s="73"/>
    </row>
    <row r="26" spans="1:17" s="2" customFormat="1" ht="15" thickBot="1" x14ac:dyDescent="0.55000000000000004">
      <c r="A26" s="74"/>
      <c r="B26" s="74"/>
      <c r="C26" s="74"/>
      <c r="D26" s="74"/>
      <c r="E26" s="74"/>
      <c r="F26" s="74"/>
      <c r="G26" s="106"/>
      <c r="H26" s="206" t="s">
        <v>25</v>
      </c>
      <c r="I26" s="207"/>
      <c r="J26" s="111"/>
      <c r="K26" s="140" t="s">
        <v>19</v>
      </c>
      <c r="L26" s="111"/>
      <c r="M26" s="113">
        <f>M24+M25</f>
        <v>23654.59</v>
      </c>
      <c r="N26" s="74"/>
      <c r="O26" s="73"/>
      <c r="P26" s="73"/>
      <c r="Q26" s="73"/>
    </row>
    <row r="27" spans="1:17" s="2" customFormat="1" ht="14.7" x14ac:dyDescent="0.5">
      <c r="A27" s="74"/>
      <c r="B27" s="74"/>
      <c r="C27" s="74"/>
      <c r="D27" s="74"/>
      <c r="E27" s="74"/>
      <c r="F27" s="74"/>
      <c r="G27" s="106"/>
      <c r="H27" s="74"/>
      <c r="I27" s="106"/>
      <c r="J27" s="74"/>
      <c r="K27" s="74"/>
      <c r="L27" s="74"/>
      <c r="M27" s="118"/>
      <c r="N27" s="74"/>
      <c r="O27" s="73"/>
      <c r="P27" s="73"/>
      <c r="Q27" s="73"/>
    </row>
    <row r="28" spans="1:17" s="3" customFormat="1" ht="14.7" x14ac:dyDescent="0.5">
      <c r="A28" s="78"/>
      <c r="B28" s="78"/>
      <c r="C28" s="78"/>
      <c r="D28" s="119"/>
      <c r="E28" s="78"/>
      <c r="F28" s="78"/>
      <c r="G28" s="120"/>
      <c r="H28" s="78"/>
      <c r="I28" s="120"/>
      <c r="J28" s="78"/>
      <c r="K28" s="78"/>
      <c r="L28" s="78"/>
      <c r="M28" s="38"/>
      <c r="N28" s="78"/>
      <c r="O28" s="71"/>
      <c r="P28" s="71"/>
      <c r="Q28" s="71"/>
    </row>
    <row r="29" spans="1:17" ht="14.7" x14ac:dyDescent="0.5">
      <c r="A29" s="79"/>
      <c r="B29" s="81"/>
      <c r="C29" s="81"/>
      <c r="D29" s="79"/>
      <c r="E29" s="79"/>
      <c r="F29" s="121"/>
      <c r="G29" s="79"/>
      <c r="H29" s="79"/>
      <c r="I29" s="79"/>
      <c r="J29" s="79"/>
      <c r="K29" s="79"/>
      <c r="L29" s="79"/>
      <c r="M29" s="39"/>
      <c r="N29" s="79"/>
    </row>
    <row r="30" spans="1:17" ht="14.7" x14ac:dyDescent="0.5">
      <c r="A30" s="79"/>
      <c r="B30" s="81"/>
      <c r="C30" s="81"/>
      <c r="D30" s="79"/>
      <c r="E30" s="79"/>
      <c r="F30" s="121"/>
      <c r="G30" s="79"/>
      <c r="H30" s="79"/>
      <c r="I30" s="79"/>
      <c r="J30" s="79"/>
      <c r="K30" s="79"/>
      <c r="L30" s="79"/>
      <c r="M30" s="39"/>
      <c r="N30" s="79"/>
    </row>
    <row r="31" spans="1:17" ht="14.7" x14ac:dyDescent="0.5">
      <c r="A31" s="79"/>
      <c r="B31" s="81"/>
      <c r="C31" s="81"/>
      <c r="D31" s="79"/>
      <c r="E31" s="79"/>
      <c r="F31" s="79"/>
      <c r="G31" s="79"/>
      <c r="H31" s="79"/>
      <c r="I31" s="79"/>
      <c r="J31" s="79"/>
      <c r="K31" s="79"/>
      <c r="L31" s="79"/>
      <c r="M31" s="39"/>
      <c r="N31" s="79"/>
    </row>
    <row r="32" spans="1:17" ht="14.7" x14ac:dyDescent="0.5">
      <c r="A32" s="79"/>
      <c r="B32" s="81"/>
      <c r="C32" s="81"/>
      <c r="D32" s="79"/>
      <c r="E32" s="79"/>
      <c r="F32" s="79"/>
      <c r="G32" s="79"/>
      <c r="H32" s="79"/>
      <c r="I32" s="79"/>
      <c r="J32" s="79"/>
      <c r="K32" s="79"/>
      <c r="L32" s="79"/>
      <c r="M32" s="39"/>
      <c r="N32" s="79"/>
    </row>
  </sheetData>
  <mergeCells count="18">
    <mergeCell ref="K3:M3"/>
    <mergeCell ref="D4:I4"/>
    <mergeCell ref="A8:A9"/>
    <mergeCell ref="B8:B9"/>
    <mergeCell ref="C8:C9"/>
    <mergeCell ref="D8:D9"/>
    <mergeCell ref="E8:F8"/>
    <mergeCell ref="I8:J8"/>
    <mergeCell ref="K8:L8"/>
    <mergeCell ref="M8:M9"/>
    <mergeCell ref="B10:C10"/>
    <mergeCell ref="G8:H8"/>
    <mergeCell ref="H25:I25"/>
    <mergeCell ref="H26:I26"/>
    <mergeCell ref="H21:I21"/>
    <mergeCell ref="H22:I22"/>
    <mergeCell ref="H23:I23"/>
    <mergeCell ref="H24:I24"/>
  </mergeCells>
  <pageMargins left="0.45" right="0.2" top="0.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zoomScalePageLayoutView="115" workbookViewId="0">
      <selection activeCell="M5" sqref="M5"/>
    </sheetView>
  </sheetViews>
  <sheetFormatPr defaultColWidth="8.87890625" defaultRowHeight="14.7" x14ac:dyDescent="0.5"/>
  <cols>
    <col min="1" max="1" width="3.29296875" style="79" customWidth="1"/>
    <col min="2" max="2" width="37.87890625" style="81" customWidth="1"/>
    <col min="3" max="3" width="41.5859375" style="81" customWidth="1"/>
    <col min="4" max="4" width="5.703125" style="79" bestFit="1" customWidth="1"/>
    <col min="5" max="5" width="12.5859375" style="79" bestFit="1" customWidth="1"/>
    <col min="6" max="6" width="9.41015625" style="79" customWidth="1"/>
    <col min="7" max="7" width="12.1171875" style="79" bestFit="1" customWidth="1"/>
    <col min="8" max="8" width="10.29296875" style="79" customWidth="1"/>
    <col min="9" max="9" width="12.1171875" style="79" bestFit="1" customWidth="1"/>
    <col min="10" max="10" width="10.29296875" style="79" customWidth="1"/>
    <col min="11" max="11" width="12.1171875" style="79" bestFit="1" customWidth="1"/>
    <col min="12" max="12" width="16.41015625" style="79" bestFit="1" customWidth="1"/>
    <col min="13" max="13" width="13.703125" style="39" customWidth="1"/>
    <col min="14" max="16384" width="8.87890625" style="4"/>
  </cols>
  <sheetData>
    <row r="2" spans="1:13" ht="21" x14ac:dyDescent="0.55000000000000004">
      <c r="A2" s="77"/>
      <c r="B2" s="43" t="s">
        <v>138</v>
      </c>
      <c r="C2" s="156" t="s">
        <v>16</v>
      </c>
      <c r="D2" s="98"/>
      <c r="E2" s="77"/>
      <c r="F2" s="77"/>
      <c r="G2" s="75"/>
      <c r="H2" s="77"/>
      <c r="I2" s="75"/>
      <c r="J2" s="77"/>
      <c r="K2" s="77"/>
      <c r="L2" s="77"/>
      <c r="M2" s="122"/>
    </row>
    <row r="3" spans="1:13" ht="12" customHeight="1" x14ac:dyDescent="0.5">
      <c r="A3" s="98"/>
      <c r="B3" s="77"/>
      <c r="C3" s="226"/>
      <c r="D3" s="226"/>
      <c r="E3" s="226"/>
      <c r="F3" s="226"/>
      <c r="G3" s="226"/>
      <c r="H3" s="226"/>
      <c r="I3" s="75"/>
      <c r="J3" s="77"/>
      <c r="K3" s="212" t="s">
        <v>18</v>
      </c>
      <c r="L3" s="213"/>
      <c r="M3" s="214"/>
    </row>
    <row r="4" spans="1:13" ht="21" customHeight="1" x14ac:dyDescent="0.5">
      <c r="A4" s="98"/>
      <c r="B4" s="77"/>
      <c r="D4" s="226"/>
      <c r="E4" s="226"/>
      <c r="F4" s="226"/>
      <c r="G4" s="226"/>
      <c r="H4" s="226"/>
      <c r="I4" s="226"/>
      <c r="J4" s="77"/>
      <c r="K4" s="123" t="s">
        <v>19</v>
      </c>
      <c r="L4" s="123" t="s">
        <v>41</v>
      </c>
      <c r="M4" s="92" t="str">
        <f ca="1">'-10.430'!M4</f>
        <v>US $  Rate</v>
      </c>
    </row>
    <row r="5" spans="1:13" x14ac:dyDescent="0.5">
      <c r="A5" s="77"/>
      <c r="B5" s="77"/>
      <c r="C5" s="77"/>
      <c r="J5" s="77"/>
      <c r="K5" s="34">
        <f>M25</f>
        <v>1511.7</v>
      </c>
      <c r="L5" s="124">
        <f>K5*M5</f>
        <v>3744.03</v>
      </c>
      <c r="M5" s="189">
        <f>'Unit Price Assumptions'!D4</f>
        <v>2.4767000000000001</v>
      </c>
    </row>
    <row r="6" spans="1:13" ht="19" x14ac:dyDescent="0.5">
      <c r="A6" s="77"/>
      <c r="B6" s="76" t="s">
        <v>105</v>
      </c>
      <c r="C6" s="77"/>
      <c r="D6" s="226"/>
      <c r="E6" s="226"/>
      <c r="F6" s="226"/>
      <c r="G6" s="226"/>
      <c r="H6" s="226"/>
      <c r="I6" s="226"/>
      <c r="J6" s="77"/>
      <c r="K6" s="78"/>
      <c r="L6" s="78"/>
      <c r="M6" s="38"/>
    </row>
    <row r="7" spans="1:13" ht="15" thickBot="1" x14ac:dyDescent="0.55000000000000004">
      <c r="A7" s="77"/>
      <c r="B7" s="77"/>
      <c r="C7" s="77"/>
      <c r="D7" s="80"/>
      <c r="E7" s="80"/>
      <c r="F7" s="80"/>
      <c r="G7" s="80"/>
      <c r="H7" s="80"/>
      <c r="I7" s="80"/>
      <c r="J7" s="77"/>
      <c r="K7" s="78"/>
      <c r="L7" s="78"/>
      <c r="M7" s="38"/>
    </row>
    <row r="8" spans="1:13" ht="24.75" customHeight="1" x14ac:dyDescent="0.5">
      <c r="A8" s="216" t="s">
        <v>97</v>
      </c>
      <c r="B8" s="218" t="s">
        <v>20</v>
      </c>
      <c r="C8" s="220" t="s">
        <v>42</v>
      </c>
      <c r="D8" s="222" t="s">
        <v>31</v>
      </c>
      <c r="E8" s="202" t="s">
        <v>21</v>
      </c>
      <c r="F8" s="203"/>
      <c r="G8" s="202" t="s">
        <v>22</v>
      </c>
      <c r="H8" s="203"/>
      <c r="I8" s="202" t="s">
        <v>23</v>
      </c>
      <c r="J8" s="203"/>
      <c r="K8" s="202" t="s">
        <v>24</v>
      </c>
      <c r="L8" s="203"/>
      <c r="M8" s="224" t="s">
        <v>18</v>
      </c>
    </row>
    <row r="9" spans="1:13" ht="30" customHeight="1" x14ac:dyDescent="0.5">
      <c r="A9" s="217"/>
      <c r="B9" s="219"/>
      <c r="C9" s="221"/>
      <c r="D9" s="223"/>
      <c r="E9" s="82" t="s">
        <v>115</v>
      </c>
      <c r="F9" s="83" t="s">
        <v>18</v>
      </c>
      <c r="G9" s="82" t="s">
        <v>32</v>
      </c>
      <c r="H9" s="83" t="s">
        <v>18</v>
      </c>
      <c r="I9" s="82" t="s">
        <v>32</v>
      </c>
      <c r="J9" s="83" t="s">
        <v>18</v>
      </c>
      <c r="K9" s="82" t="s">
        <v>32</v>
      </c>
      <c r="L9" s="83" t="s">
        <v>18</v>
      </c>
      <c r="M9" s="225"/>
    </row>
    <row r="10" spans="1:13" x14ac:dyDescent="0.5">
      <c r="A10" s="84" t="s">
        <v>1</v>
      </c>
      <c r="B10" s="200" t="s">
        <v>13</v>
      </c>
      <c r="C10" s="201"/>
      <c r="D10" s="85" t="s">
        <v>2</v>
      </c>
      <c r="E10" s="86" t="s">
        <v>3</v>
      </c>
      <c r="F10" s="87" t="s">
        <v>14</v>
      </c>
      <c r="G10" s="86" t="s">
        <v>4</v>
      </c>
      <c r="H10" s="85" t="s">
        <v>5</v>
      </c>
      <c r="I10" s="86" t="s">
        <v>6</v>
      </c>
      <c r="J10" s="87" t="s">
        <v>7</v>
      </c>
      <c r="K10" s="86" t="s">
        <v>8</v>
      </c>
      <c r="L10" s="88" t="s">
        <v>9</v>
      </c>
      <c r="M10" s="89" t="s">
        <v>10</v>
      </c>
    </row>
    <row r="11" spans="1:13" s="1" customFormat="1" x14ac:dyDescent="0.5">
      <c r="A11" s="94">
        <v>1</v>
      </c>
      <c r="B11" s="126" t="s">
        <v>36</v>
      </c>
      <c r="C11" s="126" t="s">
        <v>65</v>
      </c>
      <c r="D11" s="91" t="s">
        <v>11</v>
      </c>
      <c r="E11" s="91"/>
      <c r="F11" s="127">
        <f>43/7</f>
        <v>6.14</v>
      </c>
      <c r="G11" s="92"/>
      <c r="H11" s="91">
        <f t="shared" ref="H11:H18" si="0">F11*G11</f>
        <v>0</v>
      </c>
      <c r="I11" s="92">
        <f>'Unit Price Assumptions'!D20</f>
        <v>63.09</v>
      </c>
      <c r="J11" s="91">
        <f t="shared" ref="J11:J18" si="1">F11*I11</f>
        <v>387.37</v>
      </c>
      <c r="K11" s="92">
        <v>0</v>
      </c>
      <c r="L11" s="91">
        <f t="shared" ref="L11:L18" si="2">F11*K11</f>
        <v>0</v>
      </c>
      <c r="M11" s="93">
        <f t="shared" ref="M11:M18" si="3">H11+J11+L11</f>
        <v>387.37</v>
      </c>
    </row>
    <row r="12" spans="1:13" x14ac:dyDescent="0.5">
      <c r="A12" s="94"/>
      <c r="B12" s="95" t="s">
        <v>57</v>
      </c>
      <c r="C12" s="131" t="s">
        <v>62</v>
      </c>
      <c r="D12" s="96" t="s">
        <v>11</v>
      </c>
      <c r="E12" s="97">
        <v>1.0149999999999999</v>
      </c>
      <c r="F12" s="91">
        <f>$F$11*E12</f>
        <v>6.23</v>
      </c>
      <c r="G12" s="92">
        <f>'Unit Price Assumptions'!C8</f>
        <v>49.61</v>
      </c>
      <c r="H12" s="91">
        <f t="shared" si="0"/>
        <v>309.07</v>
      </c>
      <c r="I12" s="92"/>
      <c r="J12" s="91">
        <f t="shared" si="1"/>
        <v>0</v>
      </c>
      <c r="K12" s="92"/>
      <c r="L12" s="91">
        <f t="shared" si="2"/>
        <v>0</v>
      </c>
      <c r="M12" s="93">
        <f t="shared" si="3"/>
        <v>309.07</v>
      </c>
    </row>
    <row r="13" spans="1:13" x14ac:dyDescent="0.5">
      <c r="A13" s="94"/>
      <c r="B13" s="95" t="s">
        <v>29</v>
      </c>
      <c r="C13" s="131" t="s">
        <v>44</v>
      </c>
      <c r="D13" s="96" t="s">
        <v>15</v>
      </c>
      <c r="E13" s="97">
        <v>0.57999999999999996</v>
      </c>
      <c r="F13" s="91">
        <f>$F$11*E13</f>
        <v>3.56</v>
      </c>
      <c r="G13" s="92">
        <f>'Unit Price Assumptions'!C12</f>
        <v>8.5500000000000007</v>
      </c>
      <c r="H13" s="91">
        <f t="shared" si="0"/>
        <v>30.44</v>
      </c>
      <c r="I13" s="92"/>
      <c r="J13" s="91">
        <f t="shared" si="1"/>
        <v>0</v>
      </c>
      <c r="K13" s="92"/>
      <c r="L13" s="91">
        <f t="shared" si="2"/>
        <v>0</v>
      </c>
      <c r="M13" s="93">
        <f t="shared" si="3"/>
        <v>30.44</v>
      </c>
    </row>
    <row r="14" spans="1:13" x14ac:dyDescent="0.5">
      <c r="A14" s="94"/>
      <c r="B14" s="95" t="s">
        <v>34</v>
      </c>
      <c r="C14" s="131" t="s">
        <v>49</v>
      </c>
      <c r="D14" s="96" t="s">
        <v>11</v>
      </c>
      <c r="E14" s="97">
        <v>0.02</v>
      </c>
      <c r="F14" s="91">
        <f>$F$11*E14</f>
        <v>0.12</v>
      </c>
      <c r="G14" s="92">
        <f>'Unit Price Assumptions'!C14</f>
        <v>222.41</v>
      </c>
      <c r="H14" s="91">
        <f t="shared" si="0"/>
        <v>26.69</v>
      </c>
      <c r="I14" s="92"/>
      <c r="J14" s="91">
        <f t="shared" si="1"/>
        <v>0</v>
      </c>
      <c r="K14" s="92"/>
      <c r="L14" s="91">
        <f t="shared" si="2"/>
        <v>0</v>
      </c>
      <c r="M14" s="93">
        <f t="shared" si="3"/>
        <v>26.69</v>
      </c>
    </row>
    <row r="15" spans="1:13" x14ac:dyDescent="0.5">
      <c r="A15" s="94"/>
      <c r="B15" s="95" t="s">
        <v>30</v>
      </c>
      <c r="C15" s="131" t="s">
        <v>45</v>
      </c>
      <c r="D15" s="96" t="s">
        <v>12</v>
      </c>
      <c r="E15" s="97">
        <v>2.5</v>
      </c>
      <c r="F15" s="91">
        <f>$F$11*E15</f>
        <v>15.35</v>
      </c>
      <c r="G15" s="92">
        <f>'Unit Price Assumptions'!C15</f>
        <v>1.44</v>
      </c>
      <c r="H15" s="91">
        <f t="shared" si="0"/>
        <v>22.1</v>
      </c>
      <c r="I15" s="92"/>
      <c r="J15" s="91">
        <f t="shared" si="1"/>
        <v>0</v>
      </c>
      <c r="K15" s="92"/>
      <c r="L15" s="91">
        <f t="shared" si="2"/>
        <v>0</v>
      </c>
      <c r="M15" s="93">
        <f t="shared" si="3"/>
        <v>22.1</v>
      </c>
    </row>
    <row r="16" spans="1:13" x14ac:dyDescent="0.5">
      <c r="A16" s="94"/>
      <c r="B16" s="95" t="s">
        <v>38</v>
      </c>
      <c r="C16" s="131" t="s">
        <v>48</v>
      </c>
      <c r="D16" s="96" t="s">
        <v>35</v>
      </c>
      <c r="E16" s="97">
        <v>1.03</v>
      </c>
      <c r="F16" s="181">
        <f>E16*0.141/7</f>
        <v>0.02</v>
      </c>
      <c r="G16" s="92">
        <f>'Unit Price Assumptions'!C10</f>
        <v>393.22</v>
      </c>
      <c r="H16" s="91">
        <f t="shared" si="0"/>
        <v>7.86</v>
      </c>
      <c r="I16" s="92">
        <f>'Unit Price Assumptions'!D10</f>
        <v>0</v>
      </c>
      <c r="J16" s="91">
        <f t="shared" si="1"/>
        <v>0</v>
      </c>
      <c r="K16" s="92"/>
      <c r="L16" s="91">
        <f t="shared" si="2"/>
        <v>0</v>
      </c>
      <c r="M16" s="93">
        <f t="shared" si="3"/>
        <v>7.86</v>
      </c>
    </row>
    <row r="17" spans="1:14" x14ac:dyDescent="0.5">
      <c r="A17" s="94"/>
      <c r="B17" s="95" t="s">
        <v>39</v>
      </c>
      <c r="C17" s="131" t="s">
        <v>46</v>
      </c>
      <c r="D17" s="96" t="s">
        <v>35</v>
      </c>
      <c r="E17" s="97">
        <v>1.03</v>
      </c>
      <c r="F17" s="91">
        <f>E17*3.644/7</f>
        <v>0.54</v>
      </c>
      <c r="G17" s="92">
        <f>'Unit Price Assumptions'!C11</f>
        <v>393.22</v>
      </c>
      <c r="H17" s="91">
        <f t="shared" si="0"/>
        <v>212.34</v>
      </c>
      <c r="I17" s="92">
        <f>'Unit Price Assumptions'!D11</f>
        <v>0</v>
      </c>
      <c r="J17" s="91">
        <f t="shared" si="1"/>
        <v>0</v>
      </c>
      <c r="K17" s="92"/>
      <c r="L17" s="91">
        <f t="shared" si="2"/>
        <v>0</v>
      </c>
      <c r="M17" s="93">
        <f t="shared" si="3"/>
        <v>212.34</v>
      </c>
    </row>
    <row r="18" spans="1:14" ht="15" thickBot="1" x14ac:dyDescent="0.55000000000000004">
      <c r="A18" s="132"/>
      <c r="B18" s="95" t="s">
        <v>28</v>
      </c>
      <c r="C18" s="131" t="s">
        <v>47</v>
      </c>
      <c r="D18" s="96"/>
      <c r="E18" s="92">
        <v>0.39</v>
      </c>
      <c r="F18" s="91">
        <f t="shared" ref="F18" si="4">$F$11*E18</f>
        <v>2.39</v>
      </c>
      <c r="G18" s="92">
        <f>'Unit Price Assumptions'!C16</f>
        <v>26.35</v>
      </c>
      <c r="H18" s="91">
        <f t="shared" si="0"/>
        <v>62.98</v>
      </c>
      <c r="I18" s="92"/>
      <c r="J18" s="91">
        <f t="shared" si="1"/>
        <v>0</v>
      </c>
      <c r="K18" s="92"/>
      <c r="L18" s="91">
        <f t="shared" si="2"/>
        <v>0</v>
      </c>
      <c r="M18" s="93">
        <f t="shared" si="3"/>
        <v>62.98</v>
      </c>
    </row>
    <row r="19" spans="1:14" ht="15" thickBot="1" x14ac:dyDescent="0.55000000000000004">
      <c r="B19" s="77"/>
      <c r="C19" s="77"/>
      <c r="D19" s="98"/>
      <c r="E19" s="77"/>
      <c r="F19" s="133"/>
      <c r="G19" s="75"/>
      <c r="H19" s="101">
        <f>SUM(H11:H18)</f>
        <v>671.48</v>
      </c>
      <c r="I19" s="102"/>
      <c r="J19" s="103">
        <f>SUM(J11:J18)</f>
        <v>387.37</v>
      </c>
      <c r="K19" s="102"/>
      <c r="L19" s="103">
        <f>SUM(L11:L18)</f>
        <v>0</v>
      </c>
      <c r="M19" s="134">
        <f>SUM(M11:M18)</f>
        <v>1058.8499999999999</v>
      </c>
    </row>
    <row r="20" spans="1:14" s="2" customFormat="1" ht="15" customHeight="1" x14ac:dyDescent="0.5">
      <c r="A20" s="74"/>
      <c r="B20" s="74"/>
      <c r="C20" s="74"/>
      <c r="D20" s="74"/>
      <c r="E20" s="74"/>
      <c r="F20" s="105"/>
      <c r="G20" s="106"/>
      <c r="H20" s="208" t="s">
        <v>26</v>
      </c>
      <c r="I20" s="209"/>
      <c r="J20" s="107"/>
      <c r="K20" s="136">
        <v>0.11</v>
      </c>
      <c r="L20" s="107"/>
      <c r="M20" s="108">
        <f>M19*K20</f>
        <v>116.47</v>
      </c>
      <c r="N20" s="5"/>
    </row>
    <row r="21" spans="1:14" s="2" customFormat="1" ht="15" customHeight="1" thickBot="1" x14ac:dyDescent="0.55000000000000004">
      <c r="A21" s="74"/>
      <c r="B21" s="74"/>
      <c r="C21" s="74"/>
      <c r="D21" s="109"/>
      <c r="E21" s="110"/>
      <c r="F21" s="105"/>
      <c r="G21" s="105"/>
      <c r="H21" s="210" t="s">
        <v>27</v>
      </c>
      <c r="I21" s="211"/>
      <c r="J21" s="111"/>
      <c r="K21" s="137" t="str">
        <f>K23</f>
        <v>USD</v>
      </c>
      <c r="L21" s="111"/>
      <c r="M21" s="113">
        <f>M19+M20</f>
        <v>1175.32</v>
      </c>
      <c r="N21" s="5"/>
    </row>
    <row r="22" spans="1:14" s="2" customFormat="1" x14ac:dyDescent="0.5">
      <c r="A22" s="74"/>
      <c r="B22" s="74"/>
      <c r="C22" s="74"/>
      <c r="D22" s="109"/>
      <c r="E22" s="110"/>
      <c r="F22" s="105"/>
      <c r="G22" s="106"/>
      <c r="H22" s="208" t="s">
        <v>67</v>
      </c>
      <c r="I22" s="209"/>
      <c r="J22" s="107"/>
      <c r="K22" s="136">
        <v>0.09</v>
      </c>
      <c r="L22" s="107"/>
      <c r="M22" s="108">
        <f>M21*K22</f>
        <v>105.78</v>
      </c>
      <c r="N22" s="5"/>
    </row>
    <row r="23" spans="1:14" s="2" customFormat="1" ht="15" thickBot="1" x14ac:dyDescent="0.55000000000000004">
      <c r="A23" s="74"/>
      <c r="B23" s="74"/>
      <c r="C23" s="74"/>
      <c r="D23" s="109"/>
      <c r="E23" s="110"/>
      <c r="F23" s="114"/>
      <c r="G23" s="106"/>
      <c r="H23" s="210" t="s">
        <v>27</v>
      </c>
      <c r="I23" s="211"/>
      <c r="J23" s="111"/>
      <c r="K23" s="138" t="s">
        <v>19</v>
      </c>
      <c r="L23" s="111"/>
      <c r="M23" s="113">
        <f>M21+M22</f>
        <v>1281.0999999999999</v>
      </c>
      <c r="N23" s="5"/>
    </row>
    <row r="24" spans="1:14" s="2" customFormat="1" x14ac:dyDescent="0.5">
      <c r="A24" s="74"/>
      <c r="B24" s="74"/>
      <c r="C24" s="74"/>
      <c r="D24" s="74"/>
      <c r="E24" s="74"/>
      <c r="F24" s="74"/>
      <c r="G24" s="106"/>
      <c r="H24" s="204" t="s">
        <v>33</v>
      </c>
      <c r="I24" s="205"/>
      <c r="J24" s="107"/>
      <c r="K24" s="136">
        <v>0.18</v>
      </c>
      <c r="L24" s="107"/>
      <c r="M24" s="108">
        <f>M23*K24</f>
        <v>230.6</v>
      </c>
      <c r="N24" s="5"/>
    </row>
    <row r="25" spans="1:14" s="2" customFormat="1" ht="15" thickBot="1" x14ac:dyDescent="0.55000000000000004">
      <c r="A25" s="74"/>
      <c r="B25" s="74"/>
      <c r="C25" s="74"/>
      <c r="D25" s="74"/>
      <c r="E25" s="74"/>
      <c r="F25" s="74"/>
      <c r="G25" s="106"/>
      <c r="H25" s="206" t="s">
        <v>25</v>
      </c>
      <c r="I25" s="207"/>
      <c r="J25" s="111"/>
      <c r="K25" s="139" t="s">
        <v>19</v>
      </c>
      <c r="L25" s="111"/>
      <c r="M25" s="113">
        <f>M23+M24</f>
        <v>1511.7</v>
      </c>
      <c r="N25" s="5"/>
    </row>
  </sheetData>
  <mergeCells count="20">
    <mergeCell ref="A8:A9"/>
    <mergeCell ref="B8:B9"/>
    <mergeCell ref="D8:D9"/>
    <mergeCell ref="E8:F8"/>
    <mergeCell ref="G8:H8"/>
    <mergeCell ref="C8:C9"/>
    <mergeCell ref="K3:M3"/>
    <mergeCell ref="D4:I4"/>
    <mergeCell ref="C3:H3"/>
    <mergeCell ref="D6:I6"/>
    <mergeCell ref="H25:I25"/>
    <mergeCell ref="H20:I20"/>
    <mergeCell ref="H21:I21"/>
    <mergeCell ref="H22:I22"/>
    <mergeCell ref="H23:I23"/>
    <mergeCell ref="H24:I24"/>
    <mergeCell ref="B10:C10"/>
    <mergeCell ref="I8:J8"/>
    <mergeCell ref="K8:L8"/>
    <mergeCell ref="M8:M9"/>
  </mergeCells>
  <pageMargins left="0.45" right="0.2" top="0.5" bottom="0.2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workbookViewId="0">
      <selection activeCell="M5" sqref="M5"/>
    </sheetView>
  </sheetViews>
  <sheetFormatPr defaultColWidth="8.87890625" defaultRowHeight="14.7" x14ac:dyDescent="0.5"/>
  <cols>
    <col min="1" max="1" width="4" style="79" customWidth="1"/>
    <col min="2" max="2" width="30" style="81" customWidth="1"/>
    <col min="3" max="3" width="34.703125" style="81" customWidth="1"/>
    <col min="4" max="4" width="7" style="79" bestFit="1" customWidth="1"/>
    <col min="5" max="5" width="13" style="79" customWidth="1"/>
    <col min="6" max="6" width="9.41015625" style="79" customWidth="1"/>
    <col min="7" max="7" width="8.703125" style="79" customWidth="1"/>
    <col min="8" max="8" width="11.87890625" style="79" bestFit="1" customWidth="1"/>
    <col min="9" max="9" width="12.1171875" style="79" bestFit="1" customWidth="1"/>
    <col min="10" max="10" width="9.87890625" style="79" bestFit="1" customWidth="1"/>
    <col min="11" max="11" width="11.41015625" style="79" customWidth="1"/>
    <col min="12" max="12" width="16.1171875" style="79" customWidth="1"/>
    <col min="13" max="13" width="14.5859375" style="39" bestFit="1" customWidth="1"/>
    <col min="14" max="16384" width="8.87890625" style="4"/>
  </cols>
  <sheetData>
    <row r="2" spans="1:14" ht="21" x14ac:dyDescent="0.55000000000000004">
      <c r="A2" s="77"/>
      <c r="B2" s="43" t="s">
        <v>138</v>
      </c>
      <c r="C2" s="156" t="s">
        <v>16</v>
      </c>
      <c r="D2" s="98"/>
      <c r="E2" s="77"/>
      <c r="F2" s="77"/>
      <c r="G2" s="75"/>
      <c r="H2" s="77"/>
      <c r="I2" s="75"/>
      <c r="J2" s="77"/>
      <c r="K2" s="77"/>
      <c r="L2" s="77"/>
      <c r="M2" s="122"/>
    </row>
    <row r="3" spans="1:14" ht="12" customHeight="1" x14ac:dyDescent="0.5">
      <c r="A3" s="98"/>
      <c r="B3" s="77"/>
      <c r="C3" s="77"/>
      <c r="D3" s="98"/>
      <c r="E3" s="77"/>
      <c r="F3" s="77"/>
      <c r="G3" s="75"/>
      <c r="H3" s="77"/>
      <c r="I3" s="75"/>
      <c r="J3" s="77"/>
      <c r="K3" s="212" t="s">
        <v>18</v>
      </c>
      <c r="L3" s="213"/>
      <c r="M3" s="214"/>
    </row>
    <row r="4" spans="1:14" ht="15" customHeight="1" x14ac:dyDescent="0.5">
      <c r="A4" s="98"/>
      <c r="B4" s="77"/>
      <c r="C4" s="77"/>
      <c r="D4" s="226"/>
      <c r="E4" s="226"/>
      <c r="F4" s="226"/>
      <c r="G4" s="226"/>
      <c r="H4" s="226"/>
      <c r="I4" s="226"/>
      <c r="J4" s="77"/>
      <c r="K4" s="123" t="s">
        <v>19</v>
      </c>
      <c r="L4" s="123" t="s">
        <v>41</v>
      </c>
      <c r="M4" s="92" t="str">
        <f ca="1">'-10.430'!M4</f>
        <v>US $  Rate</v>
      </c>
    </row>
    <row r="5" spans="1:14" ht="16.5" customHeight="1" x14ac:dyDescent="0.5">
      <c r="A5" s="77"/>
      <c r="B5" s="77"/>
      <c r="C5" s="77"/>
      <c r="D5" s="226"/>
      <c r="E5" s="226"/>
      <c r="F5" s="226"/>
      <c r="G5" s="226"/>
      <c r="H5" s="226"/>
      <c r="I5" s="226"/>
      <c r="J5" s="77"/>
      <c r="K5" s="34">
        <f>M26</f>
        <v>1511.7</v>
      </c>
      <c r="L5" s="124">
        <f>K5*M5</f>
        <v>3744.03</v>
      </c>
      <c r="M5" s="189">
        <f>'Unit Price Assumptions'!D4</f>
        <v>2.4767000000000001</v>
      </c>
    </row>
    <row r="6" spans="1:14" x14ac:dyDescent="0.5">
      <c r="A6" s="77"/>
      <c r="B6" s="77"/>
      <c r="C6" s="77"/>
      <c r="D6" s="226"/>
      <c r="E6" s="226"/>
      <c r="F6" s="226"/>
      <c r="G6" s="226"/>
      <c r="H6" s="226"/>
      <c r="I6" s="226"/>
      <c r="J6" s="77"/>
      <c r="K6" s="78"/>
      <c r="L6" s="78"/>
      <c r="M6" s="38"/>
    </row>
    <row r="7" spans="1:14" ht="19.5" customHeight="1" x14ac:dyDescent="0.5">
      <c r="A7" s="158"/>
      <c r="B7" s="155" t="s">
        <v>117</v>
      </c>
      <c r="C7" s="76"/>
      <c r="D7" s="76"/>
      <c r="E7" s="76"/>
      <c r="F7" s="76"/>
      <c r="G7" s="76"/>
      <c r="H7" s="75"/>
      <c r="I7" s="75"/>
      <c r="J7" s="75"/>
      <c r="K7" s="75"/>
      <c r="L7" s="78"/>
      <c r="M7" s="38"/>
    </row>
    <row r="8" spans="1:14" ht="19.5" customHeight="1" thickBot="1" x14ac:dyDescent="0.55000000000000004">
      <c r="A8" s="157"/>
      <c r="B8" s="157"/>
      <c r="C8" s="157"/>
      <c r="D8" s="157"/>
      <c r="E8" s="157"/>
      <c r="F8" s="157"/>
      <c r="G8" s="157"/>
      <c r="H8" s="75"/>
      <c r="I8" s="75"/>
      <c r="J8" s="75"/>
      <c r="K8" s="75"/>
      <c r="L8" s="78"/>
      <c r="M8" s="38"/>
    </row>
    <row r="9" spans="1:14" ht="27" customHeight="1" x14ac:dyDescent="0.5">
      <c r="A9" s="216" t="s">
        <v>0</v>
      </c>
      <c r="B9" s="218" t="s">
        <v>20</v>
      </c>
      <c r="C9" s="220" t="s">
        <v>42</v>
      </c>
      <c r="D9" s="222" t="s">
        <v>31</v>
      </c>
      <c r="E9" s="202" t="s">
        <v>21</v>
      </c>
      <c r="F9" s="203"/>
      <c r="G9" s="202" t="s">
        <v>22</v>
      </c>
      <c r="H9" s="203"/>
      <c r="I9" s="202" t="s">
        <v>23</v>
      </c>
      <c r="J9" s="203"/>
      <c r="K9" s="202" t="s">
        <v>24</v>
      </c>
      <c r="L9" s="203"/>
      <c r="M9" s="224" t="s">
        <v>18</v>
      </c>
    </row>
    <row r="10" spans="1:14" ht="27.75" customHeight="1" x14ac:dyDescent="0.5">
      <c r="A10" s="217"/>
      <c r="B10" s="219"/>
      <c r="C10" s="221"/>
      <c r="D10" s="223"/>
      <c r="E10" s="82" t="s">
        <v>115</v>
      </c>
      <c r="F10" s="83" t="s">
        <v>18</v>
      </c>
      <c r="G10" s="82" t="s">
        <v>104</v>
      </c>
      <c r="H10" s="83" t="s">
        <v>18</v>
      </c>
      <c r="I10" s="82" t="s">
        <v>32</v>
      </c>
      <c r="J10" s="83" t="s">
        <v>18</v>
      </c>
      <c r="K10" s="82" t="s">
        <v>104</v>
      </c>
      <c r="L10" s="83" t="s">
        <v>18</v>
      </c>
      <c r="M10" s="225"/>
    </row>
    <row r="11" spans="1:14" x14ac:dyDescent="0.5">
      <c r="A11" s="84" t="s">
        <v>1</v>
      </c>
      <c r="B11" s="200" t="s">
        <v>13</v>
      </c>
      <c r="C11" s="201"/>
      <c r="D11" s="87" t="s">
        <v>2</v>
      </c>
      <c r="E11" s="86" t="s">
        <v>3</v>
      </c>
      <c r="F11" s="87" t="s">
        <v>14</v>
      </c>
      <c r="G11" s="86" t="s">
        <v>4</v>
      </c>
      <c r="H11" s="85" t="s">
        <v>5</v>
      </c>
      <c r="I11" s="86" t="s">
        <v>6</v>
      </c>
      <c r="J11" s="87" t="s">
        <v>7</v>
      </c>
      <c r="K11" s="86" t="s">
        <v>8</v>
      </c>
      <c r="L11" s="88" t="s">
        <v>9</v>
      </c>
      <c r="M11" s="154" t="s">
        <v>10</v>
      </c>
      <c r="N11" s="8"/>
    </row>
    <row r="12" spans="1:14" s="1" customFormat="1" ht="33" customHeight="1" x14ac:dyDescent="0.5">
      <c r="A12" s="94">
        <v>1</v>
      </c>
      <c r="B12" s="126" t="s">
        <v>36</v>
      </c>
      <c r="C12" s="126" t="s">
        <v>65</v>
      </c>
      <c r="D12" s="91" t="s">
        <v>11</v>
      </c>
      <c r="E12" s="91"/>
      <c r="F12" s="127">
        <f>'-10.430'!F11</f>
        <v>6.14</v>
      </c>
      <c r="G12" s="92"/>
      <c r="H12" s="91">
        <f t="shared" ref="H12:H19" si="0">F12*G12</f>
        <v>0</v>
      </c>
      <c r="I12" s="92">
        <f>'Unit Price Assumptions'!D20</f>
        <v>63.09</v>
      </c>
      <c r="J12" s="91">
        <f t="shared" ref="J12:J19" si="1">F12*I12</f>
        <v>387.37</v>
      </c>
      <c r="K12" s="92">
        <v>0</v>
      </c>
      <c r="L12" s="91">
        <f t="shared" ref="L12:L19" si="2">F12*K12</f>
        <v>0</v>
      </c>
      <c r="M12" s="93">
        <f t="shared" ref="M12:M19" si="3">H12+J12+L12</f>
        <v>387.37</v>
      </c>
    </row>
    <row r="13" spans="1:14" ht="16.5" customHeight="1" x14ac:dyDescent="0.5">
      <c r="A13" s="94"/>
      <c r="B13" s="95" t="s">
        <v>57</v>
      </c>
      <c r="C13" s="131" t="s">
        <v>62</v>
      </c>
      <c r="D13" s="96" t="s">
        <v>11</v>
      </c>
      <c r="E13" s="97">
        <v>1.0149999999999999</v>
      </c>
      <c r="F13" s="91">
        <f>$F$12*E13</f>
        <v>6.23</v>
      </c>
      <c r="G13" s="92">
        <f>'Unit Price Assumptions'!C8</f>
        <v>49.61</v>
      </c>
      <c r="H13" s="91">
        <f t="shared" si="0"/>
        <v>309.07</v>
      </c>
      <c r="I13" s="92"/>
      <c r="J13" s="91">
        <f t="shared" si="1"/>
        <v>0</v>
      </c>
      <c r="K13" s="92"/>
      <c r="L13" s="91">
        <f t="shared" si="2"/>
        <v>0</v>
      </c>
      <c r="M13" s="93">
        <f t="shared" si="3"/>
        <v>309.07</v>
      </c>
    </row>
    <row r="14" spans="1:14" x14ac:dyDescent="0.5">
      <c r="A14" s="94"/>
      <c r="B14" s="95" t="s">
        <v>29</v>
      </c>
      <c r="C14" s="131" t="s">
        <v>44</v>
      </c>
      <c r="D14" s="96" t="s">
        <v>15</v>
      </c>
      <c r="E14" s="97">
        <v>0.57999999999999996</v>
      </c>
      <c r="F14" s="91">
        <f t="shared" ref="F14:F19" si="4">$F$12*E14</f>
        <v>3.56</v>
      </c>
      <c r="G14" s="92">
        <f>'Unit Price Assumptions'!C12</f>
        <v>8.5500000000000007</v>
      </c>
      <c r="H14" s="91">
        <f t="shared" si="0"/>
        <v>30.44</v>
      </c>
      <c r="I14" s="92"/>
      <c r="J14" s="91">
        <f t="shared" si="1"/>
        <v>0</v>
      </c>
      <c r="K14" s="92"/>
      <c r="L14" s="91">
        <f t="shared" si="2"/>
        <v>0</v>
      </c>
      <c r="M14" s="93">
        <f t="shared" si="3"/>
        <v>30.44</v>
      </c>
    </row>
    <row r="15" spans="1:14" x14ac:dyDescent="0.5">
      <c r="A15" s="94"/>
      <c r="B15" s="95" t="s">
        <v>34</v>
      </c>
      <c r="C15" s="131" t="s">
        <v>49</v>
      </c>
      <c r="D15" s="96" t="s">
        <v>11</v>
      </c>
      <c r="E15" s="97">
        <v>0.02</v>
      </c>
      <c r="F15" s="91">
        <f t="shared" si="4"/>
        <v>0.12</v>
      </c>
      <c r="G15" s="92">
        <f>'Unit Price Assumptions'!C14</f>
        <v>222.41</v>
      </c>
      <c r="H15" s="91">
        <f t="shared" si="0"/>
        <v>26.69</v>
      </c>
      <c r="I15" s="92"/>
      <c r="J15" s="91">
        <f t="shared" si="1"/>
        <v>0</v>
      </c>
      <c r="K15" s="92"/>
      <c r="L15" s="91">
        <f t="shared" si="2"/>
        <v>0</v>
      </c>
      <c r="M15" s="93">
        <f t="shared" si="3"/>
        <v>26.69</v>
      </c>
    </row>
    <row r="16" spans="1:14" x14ac:dyDescent="0.5">
      <c r="A16" s="94"/>
      <c r="B16" s="95" t="s">
        <v>30</v>
      </c>
      <c r="C16" s="131" t="s">
        <v>45</v>
      </c>
      <c r="D16" s="96" t="s">
        <v>12</v>
      </c>
      <c r="E16" s="97">
        <v>2.5</v>
      </c>
      <c r="F16" s="91">
        <f t="shared" si="4"/>
        <v>15.35</v>
      </c>
      <c r="G16" s="92">
        <f>'Unit Price Assumptions'!C15</f>
        <v>1.44</v>
      </c>
      <c r="H16" s="91">
        <f t="shared" si="0"/>
        <v>22.1</v>
      </c>
      <c r="I16" s="92"/>
      <c r="J16" s="91">
        <f t="shared" si="1"/>
        <v>0</v>
      </c>
      <c r="K16" s="92"/>
      <c r="L16" s="91">
        <f t="shared" si="2"/>
        <v>0</v>
      </c>
      <c r="M16" s="93">
        <f t="shared" si="3"/>
        <v>22.1</v>
      </c>
    </row>
    <row r="17" spans="1:14" x14ac:dyDescent="0.5">
      <c r="A17" s="94"/>
      <c r="B17" s="95" t="s">
        <v>38</v>
      </c>
      <c r="C17" s="131" t="s">
        <v>48</v>
      </c>
      <c r="D17" s="96" t="s">
        <v>35</v>
      </c>
      <c r="E17" s="97">
        <v>1.03</v>
      </c>
      <c r="F17" s="91">
        <f>E17*0.141/7</f>
        <v>0.02</v>
      </c>
      <c r="G17" s="92">
        <f>'Unit Price Assumptions'!C10</f>
        <v>393.22</v>
      </c>
      <c r="H17" s="91">
        <f t="shared" si="0"/>
        <v>7.86</v>
      </c>
      <c r="I17" s="92">
        <f>'Unit Price Assumptions'!D10</f>
        <v>0</v>
      </c>
      <c r="J17" s="91">
        <f t="shared" si="1"/>
        <v>0</v>
      </c>
      <c r="K17" s="92"/>
      <c r="L17" s="91">
        <f t="shared" si="2"/>
        <v>0</v>
      </c>
      <c r="M17" s="93">
        <f t="shared" si="3"/>
        <v>7.86</v>
      </c>
    </row>
    <row r="18" spans="1:14" x14ac:dyDescent="0.5">
      <c r="A18" s="94"/>
      <c r="B18" s="95" t="s">
        <v>39</v>
      </c>
      <c r="C18" s="131" t="s">
        <v>46</v>
      </c>
      <c r="D18" s="96" t="s">
        <v>35</v>
      </c>
      <c r="E18" s="97">
        <v>1.03</v>
      </c>
      <c r="F18" s="91">
        <f>E18*3.644/7</f>
        <v>0.54</v>
      </c>
      <c r="G18" s="92">
        <f>'Unit Price Assumptions'!C11</f>
        <v>393.22</v>
      </c>
      <c r="H18" s="91">
        <f t="shared" si="0"/>
        <v>212.34</v>
      </c>
      <c r="I18" s="92">
        <f>'Unit Price Assumptions'!D11</f>
        <v>0</v>
      </c>
      <c r="J18" s="91">
        <f t="shared" si="1"/>
        <v>0</v>
      </c>
      <c r="K18" s="92"/>
      <c r="L18" s="91">
        <f t="shared" si="2"/>
        <v>0</v>
      </c>
      <c r="M18" s="93">
        <f t="shared" si="3"/>
        <v>212.34</v>
      </c>
    </row>
    <row r="19" spans="1:14" ht="15" thickBot="1" x14ac:dyDescent="0.55000000000000004">
      <c r="A19" s="132"/>
      <c r="B19" s="95" t="s">
        <v>28</v>
      </c>
      <c r="C19" s="131" t="s">
        <v>47</v>
      </c>
      <c r="D19" s="96"/>
      <c r="E19" s="92">
        <v>0.39</v>
      </c>
      <c r="F19" s="91">
        <f t="shared" si="4"/>
        <v>2.39</v>
      </c>
      <c r="G19" s="92">
        <f>'Unit Price Assumptions'!C16</f>
        <v>26.35</v>
      </c>
      <c r="H19" s="91">
        <f t="shared" si="0"/>
        <v>62.98</v>
      </c>
      <c r="I19" s="92"/>
      <c r="J19" s="91">
        <f t="shared" si="1"/>
        <v>0</v>
      </c>
      <c r="K19" s="92"/>
      <c r="L19" s="91">
        <f t="shared" si="2"/>
        <v>0</v>
      </c>
      <c r="M19" s="93">
        <f t="shared" si="3"/>
        <v>62.98</v>
      </c>
    </row>
    <row r="20" spans="1:14" ht="15" thickBot="1" x14ac:dyDescent="0.55000000000000004">
      <c r="B20" s="77"/>
      <c r="C20" s="77"/>
      <c r="D20" s="98"/>
      <c r="E20" s="77"/>
      <c r="F20" s="133"/>
      <c r="G20" s="75"/>
      <c r="H20" s="101">
        <f>SUM(H12:H19)</f>
        <v>671.48</v>
      </c>
      <c r="I20" s="102"/>
      <c r="J20" s="103">
        <f>SUM(J12:J19)</f>
        <v>387.37</v>
      </c>
      <c r="K20" s="102"/>
      <c r="L20" s="103">
        <f>SUM(L12:L19)</f>
        <v>0</v>
      </c>
      <c r="M20" s="134">
        <f>SUM(M12:M19)</f>
        <v>1058.8499999999999</v>
      </c>
    </row>
    <row r="21" spans="1:14" s="2" customFormat="1" ht="15" customHeight="1" x14ac:dyDescent="0.5">
      <c r="A21" s="74"/>
      <c r="B21" s="74"/>
      <c r="C21" s="74"/>
      <c r="D21" s="74"/>
      <c r="E21" s="74"/>
      <c r="F21" s="105"/>
      <c r="G21" s="106"/>
      <c r="H21" s="208" t="s">
        <v>26</v>
      </c>
      <c r="I21" s="209"/>
      <c r="J21" s="107"/>
      <c r="K21" s="116">
        <v>0.11</v>
      </c>
      <c r="L21" s="107"/>
      <c r="M21" s="108">
        <f>M20*K21</f>
        <v>116.47</v>
      </c>
      <c r="N21" s="5"/>
    </row>
    <row r="22" spans="1:14" s="2" customFormat="1" ht="15" customHeight="1" thickBot="1" x14ac:dyDescent="0.55000000000000004">
      <c r="A22" s="74"/>
      <c r="B22" s="74"/>
      <c r="C22" s="74"/>
      <c r="D22" s="109"/>
      <c r="E22" s="110"/>
      <c r="F22" s="105"/>
      <c r="G22" s="105"/>
      <c r="H22" s="210" t="s">
        <v>27</v>
      </c>
      <c r="I22" s="211"/>
      <c r="J22" s="111"/>
      <c r="K22" s="112" t="str">
        <f>K24</f>
        <v>USD</v>
      </c>
      <c r="L22" s="111"/>
      <c r="M22" s="113">
        <f>M20+M21</f>
        <v>1175.32</v>
      </c>
      <c r="N22" s="5"/>
    </row>
    <row r="23" spans="1:14" s="2" customFormat="1" x14ac:dyDescent="0.5">
      <c r="A23" s="74"/>
      <c r="B23" s="74"/>
      <c r="C23" s="74"/>
      <c r="D23" s="109"/>
      <c r="E23" s="110"/>
      <c r="F23" s="105"/>
      <c r="G23" s="106"/>
      <c r="H23" s="208" t="s">
        <v>67</v>
      </c>
      <c r="I23" s="209"/>
      <c r="J23" s="107"/>
      <c r="K23" s="116">
        <v>0.09</v>
      </c>
      <c r="L23" s="107"/>
      <c r="M23" s="108">
        <f>M22*K23</f>
        <v>105.78</v>
      </c>
      <c r="N23" s="5"/>
    </row>
    <row r="24" spans="1:14" s="2" customFormat="1" ht="15" thickBot="1" x14ac:dyDescent="0.55000000000000004">
      <c r="A24" s="74"/>
      <c r="B24" s="74"/>
      <c r="C24" s="74"/>
      <c r="D24" s="109"/>
      <c r="E24" s="110"/>
      <c r="F24" s="114"/>
      <c r="G24" s="106"/>
      <c r="H24" s="210" t="s">
        <v>27</v>
      </c>
      <c r="I24" s="211"/>
      <c r="J24" s="111"/>
      <c r="K24" s="115" t="s">
        <v>19</v>
      </c>
      <c r="L24" s="111"/>
      <c r="M24" s="113">
        <f>M22+M23</f>
        <v>1281.0999999999999</v>
      </c>
      <c r="N24" s="5"/>
    </row>
    <row r="25" spans="1:14" s="2" customFormat="1" x14ac:dyDescent="0.5">
      <c r="A25" s="74"/>
      <c r="B25" s="74"/>
      <c r="C25" s="74"/>
      <c r="D25" s="74"/>
      <c r="E25" s="74"/>
      <c r="F25" s="74"/>
      <c r="G25" s="106"/>
      <c r="H25" s="204" t="s">
        <v>33</v>
      </c>
      <c r="I25" s="205"/>
      <c r="J25" s="107"/>
      <c r="K25" s="116">
        <v>0.18</v>
      </c>
      <c r="L25" s="107"/>
      <c r="M25" s="108">
        <f>M24*K25</f>
        <v>230.6</v>
      </c>
      <c r="N25" s="5"/>
    </row>
    <row r="26" spans="1:14" s="2" customFormat="1" ht="15" thickBot="1" x14ac:dyDescent="0.55000000000000004">
      <c r="A26" s="74"/>
      <c r="B26" s="74"/>
      <c r="C26" s="74"/>
      <c r="D26" s="74"/>
      <c r="E26" s="74"/>
      <c r="F26" s="74"/>
      <c r="G26" s="106"/>
      <c r="H26" s="206" t="s">
        <v>25</v>
      </c>
      <c r="I26" s="207"/>
      <c r="J26" s="111"/>
      <c r="K26" s="117" t="s">
        <v>19</v>
      </c>
      <c r="L26" s="111"/>
      <c r="M26" s="113">
        <f>M24+M25</f>
        <v>1511.7</v>
      </c>
      <c r="N26" s="5"/>
    </row>
  </sheetData>
  <mergeCells count="20">
    <mergeCell ref="K3:M3"/>
    <mergeCell ref="D4:I4"/>
    <mergeCell ref="D5:I5"/>
    <mergeCell ref="I9:J9"/>
    <mergeCell ref="K9:L9"/>
    <mergeCell ref="M9:M10"/>
    <mergeCell ref="D6:I6"/>
    <mergeCell ref="C9:C10"/>
    <mergeCell ref="H26:I26"/>
    <mergeCell ref="A9:A10"/>
    <mergeCell ref="B9:B10"/>
    <mergeCell ref="D9:D10"/>
    <mergeCell ref="E9:F9"/>
    <mergeCell ref="G9:H9"/>
    <mergeCell ref="B11:C11"/>
    <mergeCell ref="H21:I21"/>
    <mergeCell ref="H22:I22"/>
    <mergeCell ref="H23:I23"/>
    <mergeCell ref="H24:I24"/>
    <mergeCell ref="H25:I25"/>
  </mergeCells>
  <pageMargins left="0.45" right="0.2" top="0.5" bottom="0.25" header="0.3" footer="0.3"/>
  <pageSetup paperSize="9" orientation="landscape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M4" sqref="M4"/>
    </sheetView>
  </sheetViews>
  <sheetFormatPr defaultColWidth="8.87890625" defaultRowHeight="14.7" x14ac:dyDescent="0.5"/>
  <cols>
    <col min="1" max="1" width="3.41015625" style="79" bestFit="1" customWidth="1"/>
    <col min="2" max="2" width="35.703125" style="81" customWidth="1"/>
    <col min="3" max="3" width="39" style="81" customWidth="1"/>
    <col min="4" max="4" width="6.87890625" style="79" customWidth="1"/>
    <col min="5" max="5" width="12.1171875" style="79" customWidth="1"/>
    <col min="6" max="6" width="9.41015625" style="79" customWidth="1"/>
    <col min="7" max="7" width="8.703125" style="79" customWidth="1"/>
    <col min="8" max="8" width="11.87890625" style="79" bestFit="1" customWidth="1"/>
    <col min="9" max="9" width="8.703125" style="79" customWidth="1"/>
    <col min="10" max="10" width="11.87890625" style="79" bestFit="1" customWidth="1"/>
    <col min="11" max="11" width="12.1171875" style="79" customWidth="1"/>
    <col min="12" max="12" width="17.87890625" style="79" bestFit="1" customWidth="1"/>
    <col min="13" max="13" width="14.5859375" style="159" bestFit="1" customWidth="1"/>
    <col min="14" max="16384" width="8.87890625" style="4"/>
  </cols>
  <sheetData>
    <row r="1" spans="1:13" x14ac:dyDescent="0.5">
      <c r="A1" s="77"/>
      <c r="B1" s="77"/>
      <c r="D1" s="98"/>
      <c r="E1" s="77"/>
      <c r="F1" s="77"/>
      <c r="G1" s="75"/>
      <c r="H1" s="77"/>
      <c r="I1" s="75"/>
      <c r="J1" s="77"/>
      <c r="K1" s="77"/>
      <c r="L1" s="77"/>
      <c r="M1" s="122"/>
    </row>
    <row r="2" spans="1:13" ht="21" x14ac:dyDescent="0.55000000000000004">
      <c r="A2" s="98"/>
      <c r="B2" s="43" t="s">
        <v>138</v>
      </c>
      <c r="C2" s="135" t="s">
        <v>16</v>
      </c>
      <c r="D2" s="98"/>
      <c r="E2" s="77"/>
      <c r="F2" s="77"/>
      <c r="G2" s="75"/>
      <c r="H2" s="77"/>
      <c r="I2" s="75"/>
      <c r="J2" s="77"/>
      <c r="K2" s="212" t="s">
        <v>18</v>
      </c>
      <c r="L2" s="213"/>
      <c r="M2" s="214"/>
    </row>
    <row r="3" spans="1:13" ht="15" customHeight="1" x14ac:dyDescent="0.5">
      <c r="A3" s="98"/>
      <c r="B3" s="77"/>
      <c r="C3" s="77"/>
      <c r="D3" s="226"/>
      <c r="E3" s="226"/>
      <c r="F3" s="226"/>
      <c r="G3" s="226"/>
      <c r="H3" s="226"/>
      <c r="I3" s="226"/>
      <c r="J3" s="77"/>
      <c r="K3" s="123" t="s">
        <v>19</v>
      </c>
      <c r="L3" s="123" t="s">
        <v>41</v>
      </c>
      <c r="M3" s="92" t="str">
        <f ca="1">'-10.430'!M4</f>
        <v>US $  Rate</v>
      </c>
    </row>
    <row r="4" spans="1:13" ht="16.5" customHeight="1" x14ac:dyDescent="0.5">
      <c r="A4" s="77"/>
      <c r="B4" s="77"/>
      <c r="C4" s="77"/>
      <c r="D4" s="226"/>
      <c r="E4" s="226"/>
      <c r="F4" s="226"/>
      <c r="G4" s="226"/>
      <c r="H4" s="226"/>
      <c r="I4" s="226"/>
      <c r="J4" s="77"/>
      <c r="K4" s="34">
        <f>M41</f>
        <v>17569.72</v>
      </c>
      <c r="L4" s="124">
        <f>K4*M4</f>
        <v>43514.93</v>
      </c>
      <c r="M4" s="189">
        <f>'Unit Price Assumptions'!D4</f>
        <v>2.4767000000000001</v>
      </c>
    </row>
    <row r="5" spans="1:13" ht="21" x14ac:dyDescent="0.5">
      <c r="A5" s="77"/>
      <c r="B5" s="155" t="s">
        <v>119</v>
      </c>
      <c r="C5" s="77"/>
      <c r="D5" s="226"/>
      <c r="E5" s="226"/>
      <c r="F5" s="226"/>
      <c r="G5" s="226"/>
      <c r="H5" s="226"/>
      <c r="I5" s="226"/>
      <c r="J5" s="77"/>
      <c r="K5" s="78"/>
      <c r="L5" s="78"/>
      <c r="M5" s="38"/>
    </row>
    <row r="6" spans="1:13" x14ac:dyDescent="0.5">
      <c r="A6" s="77"/>
      <c r="B6" s="77"/>
      <c r="C6" s="77"/>
      <c r="D6" s="80"/>
      <c r="E6" s="80"/>
      <c r="F6" s="80"/>
      <c r="G6" s="80"/>
      <c r="H6" s="80"/>
      <c r="I6" s="80"/>
      <c r="J6" s="77"/>
      <c r="K6" s="78"/>
      <c r="L6" s="78"/>
      <c r="M6" s="38"/>
    </row>
    <row r="7" spans="1:13" ht="18" customHeight="1" thickBot="1" x14ac:dyDescent="0.55000000000000004">
      <c r="A7" s="226" t="s">
        <v>118</v>
      </c>
      <c r="B7" s="226"/>
      <c r="C7" s="226"/>
      <c r="D7" s="226"/>
      <c r="E7" s="226"/>
      <c r="F7" s="226"/>
      <c r="G7" s="226"/>
      <c r="H7" s="75"/>
      <c r="I7" s="75"/>
      <c r="J7" s="75"/>
      <c r="K7" s="75"/>
      <c r="L7" s="78"/>
      <c r="M7" s="38"/>
    </row>
    <row r="8" spans="1:13" ht="27" customHeight="1" x14ac:dyDescent="0.5">
      <c r="A8" s="216" t="s">
        <v>0</v>
      </c>
      <c r="B8" s="218" t="s">
        <v>20</v>
      </c>
      <c r="C8" s="220" t="s">
        <v>42</v>
      </c>
      <c r="D8" s="222" t="s">
        <v>31</v>
      </c>
      <c r="E8" s="202" t="s">
        <v>21</v>
      </c>
      <c r="F8" s="203"/>
      <c r="G8" s="202" t="s">
        <v>22</v>
      </c>
      <c r="H8" s="203"/>
      <c r="I8" s="202" t="s">
        <v>23</v>
      </c>
      <c r="J8" s="203"/>
      <c r="K8" s="202" t="s">
        <v>24</v>
      </c>
      <c r="L8" s="203"/>
      <c r="M8" s="227" t="s">
        <v>18</v>
      </c>
    </row>
    <row r="9" spans="1:13" ht="42.75" customHeight="1" x14ac:dyDescent="0.5">
      <c r="A9" s="217"/>
      <c r="B9" s="219"/>
      <c r="C9" s="221"/>
      <c r="D9" s="223"/>
      <c r="E9" s="82" t="s">
        <v>115</v>
      </c>
      <c r="F9" s="83" t="s">
        <v>18</v>
      </c>
      <c r="G9" s="82" t="s">
        <v>104</v>
      </c>
      <c r="H9" s="83" t="s">
        <v>18</v>
      </c>
      <c r="I9" s="82" t="s">
        <v>104</v>
      </c>
      <c r="J9" s="83" t="s">
        <v>18</v>
      </c>
      <c r="K9" s="82" t="s">
        <v>32</v>
      </c>
      <c r="L9" s="83" t="s">
        <v>18</v>
      </c>
      <c r="M9" s="228"/>
    </row>
    <row r="10" spans="1:13" x14ac:dyDescent="0.5">
      <c r="A10" s="160" t="s">
        <v>1</v>
      </c>
      <c r="B10" s="200" t="s">
        <v>13</v>
      </c>
      <c r="C10" s="201"/>
      <c r="D10" s="161" t="s">
        <v>2</v>
      </c>
      <c r="E10" s="160" t="s">
        <v>3</v>
      </c>
      <c r="F10" s="88" t="s">
        <v>14</v>
      </c>
      <c r="G10" s="160" t="s">
        <v>4</v>
      </c>
      <c r="H10" s="88" t="s">
        <v>5</v>
      </c>
      <c r="I10" s="86" t="s">
        <v>6</v>
      </c>
      <c r="J10" s="161" t="s">
        <v>7</v>
      </c>
      <c r="K10" s="86" t="s">
        <v>8</v>
      </c>
      <c r="L10" s="161" t="s">
        <v>9</v>
      </c>
      <c r="M10" s="89" t="s">
        <v>10</v>
      </c>
    </row>
    <row r="11" spans="1:13" s="1" customFormat="1" ht="29.35" x14ac:dyDescent="0.5">
      <c r="A11" s="90">
        <v>1</v>
      </c>
      <c r="B11" s="126" t="s">
        <v>63</v>
      </c>
      <c r="C11" s="126" t="s">
        <v>64</v>
      </c>
      <c r="D11" s="91" t="s">
        <v>11</v>
      </c>
      <c r="E11" s="91"/>
      <c r="F11" s="127">
        <v>24.52</v>
      </c>
      <c r="G11" s="92"/>
      <c r="H11" s="91">
        <f t="shared" ref="H11:H34" si="0">F11*G11</f>
        <v>0</v>
      </c>
      <c r="I11" s="92">
        <f>'Unit Price Assumptions'!D17</f>
        <v>47.95</v>
      </c>
      <c r="J11" s="91">
        <f t="shared" ref="J11:J34" si="1">F11*I11</f>
        <v>1175.73</v>
      </c>
      <c r="K11" s="92">
        <v>0</v>
      </c>
      <c r="L11" s="91">
        <f t="shared" ref="L11:L34" si="2">F11*K11</f>
        <v>0</v>
      </c>
      <c r="M11" s="93">
        <f t="shared" ref="M11:M34" si="3">H11+J11+L11</f>
        <v>1175.73</v>
      </c>
    </row>
    <row r="12" spans="1:13" x14ac:dyDescent="0.5">
      <c r="A12" s="94"/>
      <c r="B12" s="95" t="s">
        <v>57</v>
      </c>
      <c r="C12" s="131" t="s">
        <v>62</v>
      </c>
      <c r="D12" s="96" t="s">
        <v>11</v>
      </c>
      <c r="E12" s="97">
        <v>1.0149999999999999</v>
      </c>
      <c r="F12" s="91">
        <f>$F$11*E12</f>
        <v>24.89</v>
      </c>
      <c r="G12" s="92">
        <f>'Unit Price Assumptions'!C8</f>
        <v>49.61</v>
      </c>
      <c r="H12" s="91">
        <f t="shared" si="0"/>
        <v>1234.79</v>
      </c>
      <c r="I12" s="92"/>
      <c r="J12" s="91">
        <f t="shared" si="1"/>
        <v>0</v>
      </c>
      <c r="K12" s="92"/>
      <c r="L12" s="91">
        <f t="shared" si="2"/>
        <v>0</v>
      </c>
      <c r="M12" s="93">
        <f t="shared" si="3"/>
        <v>1234.79</v>
      </c>
    </row>
    <row r="13" spans="1:13" x14ac:dyDescent="0.5">
      <c r="A13" s="94"/>
      <c r="B13" s="95" t="s">
        <v>29</v>
      </c>
      <c r="C13" s="131" t="s">
        <v>44</v>
      </c>
      <c r="D13" s="96" t="s">
        <v>15</v>
      </c>
      <c r="E13" s="97">
        <v>2.64</v>
      </c>
      <c r="F13" s="91">
        <f t="shared" ref="F13:F18" si="4">$F$11*E13</f>
        <v>64.73</v>
      </c>
      <c r="G13" s="92">
        <f>'Unit Price Assumptions'!C12</f>
        <v>8.5500000000000007</v>
      </c>
      <c r="H13" s="91">
        <f t="shared" si="0"/>
        <v>553.44000000000005</v>
      </c>
      <c r="I13" s="92"/>
      <c r="J13" s="91">
        <f t="shared" si="1"/>
        <v>0</v>
      </c>
      <c r="K13" s="92"/>
      <c r="L13" s="91">
        <f t="shared" si="2"/>
        <v>0</v>
      </c>
      <c r="M13" s="93">
        <f t="shared" si="3"/>
        <v>553.44000000000005</v>
      </c>
    </row>
    <row r="14" spans="1:13" x14ac:dyDescent="0.5">
      <c r="A14" s="94"/>
      <c r="B14" s="95" t="s">
        <v>37</v>
      </c>
      <c r="C14" s="95" t="s">
        <v>43</v>
      </c>
      <c r="D14" s="96" t="s">
        <v>11</v>
      </c>
      <c r="E14" s="97">
        <v>0.2</v>
      </c>
      <c r="F14" s="91">
        <f>$F$11*E14</f>
        <v>4.9000000000000004</v>
      </c>
      <c r="G14" s="92">
        <f>'Unit Price Assumptions'!C13</f>
        <v>383.23</v>
      </c>
      <c r="H14" s="91">
        <f t="shared" si="0"/>
        <v>1877.83</v>
      </c>
      <c r="I14" s="92"/>
      <c r="J14" s="91">
        <f t="shared" si="1"/>
        <v>0</v>
      </c>
      <c r="K14" s="92"/>
      <c r="L14" s="91">
        <f t="shared" si="2"/>
        <v>0</v>
      </c>
      <c r="M14" s="93">
        <f t="shared" si="3"/>
        <v>1877.83</v>
      </c>
    </row>
    <row r="15" spans="1:13" x14ac:dyDescent="0.5">
      <c r="A15" s="94"/>
      <c r="B15" s="95" t="s">
        <v>30</v>
      </c>
      <c r="C15" s="131" t="s">
        <v>45</v>
      </c>
      <c r="D15" s="96" t="s">
        <v>12</v>
      </c>
      <c r="E15" s="97">
        <v>2.5</v>
      </c>
      <c r="F15" s="91">
        <f t="shared" si="4"/>
        <v>61.3</v>
      </c>
      <c r="G15" s="92">
        <f>'+0.370'!G23</f>
        <v>1.44</v>
      </c>
      <c r="H15" s="91">
        <f t="shared" si="0"/>
        <v>88.27</v>
      </c>
      <c r="I15" s="92"/>
      <c r="J15" s="91">
        <f t="shared" si="1"/>
        <v>0</v>
      </c>
      <c r="K15" s="92"/>
      <c r="L15" s="91">
        <f t="shared" si="2"/>
        <v>0</v>
      </c>
      <c r="M15" s="93">
        <f t="shared" si="3"/>
        <v>88.27</v>
      </c>
    </row>
    <row r="16" spans="1:13" x14ac:dyDescent="0.5">
      <c r="A16" s="94"/>
      <c r="B16" s="95" t="s">
        <v>38</v>
      </c>
      <c r="C16" s="131" t="s">
        <v>48</v>
      </c>
      <c r="D16" s="96" t="s">
        <v>35</v>
      </c>
      <c r="E16" s="97">
        <v>1.03</v>
      </c>
      <c r="F16" s="91">
        <f>E16*1.025</f>
        <v>1.06</v>
      </c>
      <c r="G16" s="92">
        <f>'Unit Price Assumptions'!C10</f>
        <v>393.22</v>
      </c>
      <c r="H16" s="91">
        <f t="shared" si="0"/>
        <v>416.81</v>
      </c>
      <c r="I16" s="92">
        <f>'Unit Price Assumptions'!D10</f>
        <v>0</v>
      </c>
      <c r="J16" s="91">
        <f t="shared" si="1"/>
        <v>0</v>
      </c>
      <c r="K16" s="92"/>
      <c r="L16" s="91">
        <f t="shared" si="2"/>
        <v>0</v>
      </c>
      <c r="M16" s="93">
        <f t="shared" si="3"/>
        <v>416.81</v>
      </c>
    </row>
    <row r="17" spans="1:13" ht="12" customHeight="1" x14ac:dyDescent="0.5">
      <c r="A17" s="94"/>
      <c r="B17" s="95" t="s">
        <v>39</v>
      </c>
      <c r="C17" s="131" t="s">
        <v>46</v>
      </c>
      <c r="D17" s="96" t="s">
        <v>35</v>
      </c>
      <c r="E17" s="97">
        <v>1.03</v>
      </c>
      <c r="F17" s="91">
        <f>E17*4.528</f>
        <v>4.66</v>
      </c>
      <c r="G17" s="92">
        <f>'Unit Price Assumptions'!C11</f>
        <v>393.22</v>
      </c>
      <c r="H17" s="91">
        <f t="shared" si="0"/>
        <v>1832.41</v>
      </c>
      <c r="I17" s="92">
        <f>'Unit Price Assumptions'!D11</f>
        <v>0</v>
      </c>
      <c r="J17" s="91">
        <f t="shared" si="1"/>
        <v>0</v>
      </c>
      <c r="K17" s="92"/>
      <c r="L17" s="91">
        <f t="shared" si="2"/>
        <v>0</v>
      </c>
      <c r="M17" s="93">
        <f t="shared" si="3"/>
        <v>1832.41</v>
      </c>
    </row>
    <row r="18" spans="1:13" x14ac:dyDescent="0.5">
      <c r="A18" s="132"/>
      <c r="B18" s="95" t="s">
        <v>28</v>
      </c>
      <c r="C18" s="131" t="s">
        <v>47</v>
      </c>
      <c r="D18" s="96"/>
      <c r="E18" s="92">
        <v>0.13</v>
      </c>
      <c r="F18" s="91">
        <f t="shared" si="4"/>
        <v>3.19</v>
      </c>
      <c r="G18" s="92">
        <f>'Unit Price Assumptions'!C16</f>
        <v>26.35</v>
      </c>
      <c r="H18" s="91">
        <f t="shared" si="0"/>
        <v>84.06</v>
      </c>
      <c r="I18" s="92"/>
      <c r="J18" s="91">
        <f t="shared" si="1"/>
        <v>0</v>
      </c>
      <c r="K18" s="92"/>
      <c r="L18" s="91">
        <f t="shared" si="2"/>
        <v>0</v>
      </c>
      <c r="M18" s="93">
        <f t="shared" si="3"/>
        <v>84.06</v>
      </c>
    </row>
    <row r="19" spans="1:13" s="1" customFormat="1" ht="29.35" x14ac:dyDescent="0.5">
      <c r="A19" s="90">
        <v>2</v>
      </c>
      <c r="B19" s="126" t="s">
        <v>71</v>
      </c>
      <c r="C19" s="126" t="s">
        <v>66</v>
      </c>
      <c r="D19" s="91" t="s">
        <v>11</v>
      </c>
      <c r="E19" s="91"/>
      <c r="F19" s="127">
        <f>13.31</f>
        <v>13.31</v>
      </c>
      <c r="G19" s="92"/>
      <c r="H19" s="91">
        <f t="shared" ref="H19:H26" si="5">F19*G19</f>
        <v>0</v>
      </c>
      <c r="I19" s="92">
        <f>'Unit Price Assumptions'!D18</f>
        <v>52.99</v>
      </c>
      <c r="J19" s="91">
        <f t="shared" ref="J19:J26" si="6">F19*I19</f>
        <v>705.3</v>
      </c>
      <c r="K19" s="92">
        <f>K11</f>
        <v>0</v>
      </c>
      <c r="L19" s="91">
        <f t="shared" ref="L19:L26" si="7">F19*K19</f>
        <v>0</v>
      </c>
      <c r="M19" s="93">
        <f t="shared" si="3"/>
        <v>705.3</v>
      </c>
    </row>
    <row r="20" spans="1:13" x14ac:dyDescent="0.5">
      <c r="A20" s="94"/>
      <c r="B20" s="95" t="s">
        <v>57</v>
      </c>
      <c r="C20" s="131" t="s">
        <v>62</v>
      </c>
      <c r="D20" s="96" t="s">
        <v>11</v>
      </c>
      <c r="E20" s="97">
        <v>1.0149999999999999</v>
      </c>
      <c r="F20" s="91">
        <f>E20*F19</f>
        <v>13.51</v>
      </c>
      <c r="G20" s="92">
        <f>G12</f>
        <v>49.61</v>
      </c>
      <c r="H20" s="91">
        <f t="shared" si="5"/>
        <v>670.23</v>
      </c>
      <c r="I20" s="92"/>
      <c r="J20" s="91">
        <f t="shared" si="6"/>
        <v>0</v>
      </c>
      <c r="K20" s="92"/>
      <c r="L20" s="91">
        <f t="shared" si="7"/>
        <v>0</v>
      </c>
      <c r="M20" s="93">
        <f t="shared" si="3"/>
        <v>670.23</v>
      </c>
    </row>
    <row r="21" spans="1:13" x14ac:dyDescent="0.5">
      <c r="A21" s="94"/>
      <c r="B21" s="95" t="s">
        <v>29</v>
      </c>
      <c r="C21" s="131" t="s">
        <v>44</v>
      </c>
      <c r="D21" s="96" t="s">
        <v>15</v>
      </c>
      <c r="E21" s="97">
        <v>2.64</v>
      </c>
      <c r="F21" s="91">
        <f>E21*F19</f>
        <v>35.14</v>
      </c>
      <c r="G21" s="92">
        <f t="shared" ref="G21:G26" si="8">G13</f>
        <v>8.5500000000000007</v>
      </c>
      <c r="H21" s="91">
        <f t="shared" si="5"/>
        <v>300.45</v>
      </c>
      <c r="I21" s="92"/>
      <c r="J21" s="91">
        <f t="shared" si="6"/>
        <v>0</v>
      </c>
      <c r="K21" s="92"/>
      <c r="L21" s="91">
        <f t="shared" si="7"/>
        <v>0</v>
      </c>
      <c r="M21" s="93">
        <f t="shared" si="3"/>
        <v>300.45</v>
      </c>
    </row>
    <row r="22" spans="1:13" x14ac:dyDescent="0.5">
      <c r="A22" s="94"/>
      <c r="B22" s="95" t="s">
        <v>37</v>
      </c>
      <c r="C22" s="95" t="s">
        <v>43</v>
      </c>
      <c r="D22" s="96" t="s">
        <v>11</v>
      </c>
      <c r="E22" s="162">
        <v>0.2</v>
      </c>
      <c r="F22" s="91">
        <f>E22*F19</f>
        <v>2.66</v>
      </c>
      <c r="G22" s="92">
        <f t="shared" si="8"/>
        <v>383.23</v>
      </c>
      <c r="H22" s="91">
        <f t="shared" si="5"/>
        <v>1019.39</v>
      </c>
      <c r="I22" s="92"/>
      <c r="J22" s="91">
        <f t="shared" si="6"/>
        <v>0</v>
      </c>
      <c r="K22" s="92"/>
      <c r="L22" s="91">
        <f t="shared" si="7"/>
        <v>0</v>
      </c>
      <c r="M22" s="93">
        <f t="shared" si="3"/>
        <v>1019.39</v>
      </c>
    </row>
    <row r="23" spans="1:13" x14ac:dyDescent="0.5">
      <c r="A23" s="94"/>
      <c r="B23" s="95" t="s">
        <v>30</v>
      </c>
      <c r="C23" s="131" t="s">
        <v>45</v>
      </c>
      <c r="D23" s="96" t="s">
        <v>12</v>
      </c>
      <c r="E23" s="97">
        <v>2.5</v>
      </c>
      <c r="F23" s="91">
        <f>E23*F19</f>
        <v>33.28</v>
      </c>
      <c r="G23" s="92">
        <f t="shared" si="8"/>
        <v>1.44</v>
      </c>
      <c r="H23" s="91">
        <f t="shared" si="5"/>
        <v>47.92</v>
      </c>
      <c r="I23" s="92"/>
      <c r="J23" s="91">
        <f t="shared" si="6"/>
        <v>0</v>
      </c>
      <c r="K23" s="92"/>
      <c r="L23" s="91">
        <f t="shared" si="7"/>
        <v>0</v>
      </c>
      <c r="M23" s="93">
        <f t="shared" si="3"/>
        <v>47.92</v>
      </c>
    </row>
    <row r="24" spans="1:13" x14ac:dyDescent="0.5">
      <c r="A24" s="94"/>
      <c r="B24" s="95" t="s">
        <v>38</v>
      </c>
      <c r="C24" s="131" t="s">
        <v>48</v>
      </c>
      <c r="D24" s="96" t="s">
        <v>35</v>
      </c>
      <c r="E24" s="97">
        <v>1.03</v>
      </c>
      <c r="F24" s="91">
        <f>E24*0.085</f>
        <v>0.09</v>
      </c>
      <c r="G24" s="92">
        <f t="shared" si="8"/>
        <v>393.22</v>
      </c>
      <c r="H24" s="91">
        <f t="shared" si="5"/>
        <v>35.39</v>
      </c>
      <c r="I24" s="92">
        <f>I16</f>
        <v>0</v>
      </c>
      <c r="J24" s="91">
        <f t="shared" si="6"/>
        <v>0</v>
      </c>
      <c r="K24" s="92"/>
      <c r="L24" s="91">
        <f t="shared" si="7"/>
        <v>0</v>
      </c>
      <c r="M24" s="93">
        <f t="shared" si="3"/>
        <v>35.39</v>
      </c>
    </row>
    <row r="25" spans="1:13" ht="12" customHeight="1" x14ac:dyDescent="0.5">
      <c r="A25" s="94"/>
      <c r="B25" s="95" t="s">
        <v>39</v>
      </c>
      <c r="C25" s="131" t="s">
        <v>46</v>
      </c>
      <c r="D25" s="96" t="s">
        <v>35</v>
      </c>
      <c r="E25" s="97">
        <v>1.03</v>
      </c>
      <c r="F25" s="91">
        <f>E25*2.862</f>
        <v>2.95</v>
      </c>
      <c r="G25" s="92">
        <f t="shared" si="8"/>
        <v>393.22</v>
      </c>
      <c r="H25" s="91">
        <f t="shared" si="5"/>
        <v>1160</v>
      </c>
      <c r="I25" s="92">
        <f>I17</f>
        <v>0</v>
      </c>
      <c r="J25" s="91">
        <f t="shared" si="6"/>
        <v>0</v>
      </c>
      <c r="K25" s="92"/>
      <c r="L25" s="91">
        <f t="shared" si="7"/>
        <v>0</v>
      </c>
      <c r="M25" s="93">
        <f t="shared" si="3"/>
        <v>1160</v>
      </c>
    </row>
    <row r="26" spans="1:13" ht="10.5" customHeight="1" x14ac:dyDescent="0.5">
      <c r="A26" s="132"/>
      <c r="B26" s="95" t="s">
        <v>28</v>
      </c>
      <c r="C26" s="131" t="s">
        <v>47</v>
      </c>
      <c r="D26" s="96"/>
      <c r="E26" s="92">
        <v>0.13</v>
      </c>
      <c r="F26" s="91">
        <f>E26*F19</f>
        <v>1.73</v>
      </c>
      <c r="G26" s="92">
        <f t="shared" si="8"/>
        <v>26.35</v>
      </c>
      <c r="H26" s="91">
        <f t="shared" si="5"/>
        <v>45.59</v>
      </c>
      <c r="I26" s="92"/>
      <c r="J26" s="91">
        <f t="shared" si="6"/>
        <v>0</v>
      </c>
      <c r="K26" s="92"/>
      <c r="L26" s="91">
        <f t="shared" si="7"/>
        <v>0</v>
      </c>
      <c r="M26" s="93">
        <f t="shared" si="3"/>
        <v>45.59</v>
      </c>
    </row>
    <row r="27" spans="1:13" s="1" customFormat="1" x14ac:dyDescent="0.5">
      <c r="A27" s="90">
        <v>3</v>
      </c>
      <c r="B27" s="126" t="s">
        <v>36</v>
      </c>
      <c r="C27" s="126" t="s">
        <v>65</v>
      </c>
      <c r="D27" s="91" t="s">
        <v>11</v>
      </c>
      <c r="E27" s="91"/>
      <c r="F27" s="127">
        <f>'-7.130'!F12</f>
        <v>6.14</v>
      </c>
      <c r="G27" s="92"/>
      <c r="H27" s="91">
        <f t="shared" si="0"/>
        <v>0</v>
      </c>
      <c r="I27" s="92">
        <f>'Unit Price Assumptions'!D20</f>
        <v>63.09</v>
      </c>
      <c r="J27" s="91">
        <f t="shared" si="1"/>
        <v>387.37</v>
      </c>
      <c r="K27" s="92">
        <f>K19</f>
        <v>0</v>
      </c>
      <c r="L27" s="91">
        <f t="shared" si="2"/>
        <v>0</v>
      </c>
      <c r="M27" s="93">
        <f t="shared" si="3"/>
        <v>387.37</v>
      </c>
    </row>
    <row r="28" spans="1:13" x14ac:dyDescent="0.5">
      <c r="A28" s="94"/>
      <c r="B28" s="95" t="s">
        <v>57</v>
      </c>
      <c r="C28" s="131" t="s">
        <v>62</v>
      </c>
      <c r="D28" s="96" t="s">
        <v>11</v>
      </c>
      <c r="E28" s="97">
        <v>1.0149999999999999</v>
      </c>
      <c r="F28" s="91">
        <f>'-7.130'!F13</f>
        <v>6.23</v>
      </c>
      <c r="G28" s="92">
        <f>G20</f>
        <v>49.61</v>
      </c>
      <c r="H28" s="91">
        <f t="shared" si="0"/>
        <v>309.07</v>
      </c>
      <c r="I28" s="92"/>
      <c r="J28" s="91">
        <f t="shared" si="1"/>
        <v>0</v>
      </c>
      <c r="K28" s="92"/>
      <c r="L28" s="91">
        <f t="shared" si="2"/>
        <v>0</v>
      </c>
      <c r="M28" s="93">
        <f t="shared" si="3"/>
        <v>309.07</v>
      </c>
    </row>
    <row r="29" spans="1:13" x14ac:dyDescent="0.5">
      <c r="A29" s="94"/>
      <c r="B29" s="95" t="s">
        <v>29</v>
      </c>
      <c r="C29" s="131" t="s">
        <v>44</v>
      </c>
      <c r="D29" s="96" t="s">
        <v>15</v>
      </c>
      <c r="E29" s="97">
        <v>0.57999999999999996</v>
      </c>
      <c r="F29" s="91">
        <f>'-7.130'!F14</f>
        <v>3.56</v>
      </c>
      <c r="G29" s="92">
        <f t="shared" ref="G29:G34" si="9">G21</f>
        <v>8.5500000000000007</v>
      </c>
      <c r="H29" s="91">
        <f t="shared" si="0"/>
        <v>30.44</v>
      </c>
      <c r="I29" s="92"/>
      <c r="J29" s="91">
        <f t="shared" si="1"/>
        <v>0</v>
      </c>
      <c r="K29" s="92"/>
      <c r="L29" s="91">
        <f t="shared" si="2"/>
        <v>0</v>
      </c>
      <c r="M29" s="93">
        <f t="shared" si="3"/>
        <v>30.44</v>
      </c>
    </row>
    <row r="30" spans="1:13" x14ac:dyDescent="0.5">
      <c r="A30" s="94"/>
      <c r="B30" s="95" t="s">
        <v>34</v>
      </c>
      <c r="C30" s="131" t="s">
        <v>49</v>
      </c>
      <c r="D30" s="96" t="s">
        <v>11</v>
      </c>
      <c r="E30" s="97">
        <v>0.02</v>
      </c>
      <c r="F30" s="91">
        <f>'-7.130'!F15</f>
        <v>0.12</v>
      </c>
      <c r="G30" s="92">
        <f>'Unit Price Assumptions'!C14</f>
        <v>222.41</v>
      </c>
      <c r="H30" s="91">
        <f t="shared" si="0"/>
        <v>26.69</v>
      </c>
      <c r="I30" s="92"/>
      <c r="J30" s="91">
        <f t="shared" si="1"/>
        <v>0</v>
      </c>
      <c r="K30" s="92"/>
      <c r="L30" s="91">
        <f t="shared" si="2"/>
        <v>0</v>
      </c>
      <c r="M30" s="93">
        <f t="shared" si="3"/>
        <v>26.69</v>
      </c>
    </row>
    <row r="31" spans="1:13" x14ac:dyDescent="0.5">
      <c r="A31" s="94"/>
      <c r="B31" s="95" t="s">
        <v>30</v>
      </c>
      <c r="C31" s="131" t="s">
        <v>45</v>
      </c>
      <c r="D31" s="96" t="s">
        <v>12</v>
      </c>
      <c r="E31" s="97">
        <v>2.5</v>
      </c>
      <c r="F31" s="91">
        <f>'-7.130'!F16</f>
        <v>15.35</v>
      </c>
      <c r="G31" s="92">
        <f t="shared" si="9"/>
        <v>1.44</v>
      </c>
      <c r="H31" s="91">
        <f t="shared" si="0"/>
        <v>22.1</v>
      </c>
      <c r="I31" s="92"/>
      <c r="J31" s="91">
        <f t="shared" si="1"/>
        <v>0</v>
      </c>
      <c r="K31" s="92"/>
      <c r="L31" s="91">
        <f t="shared" si="2"/>
        <v>0</v>
      </c>
      <c r="M31" s="93">
        <f t="shared" si="3"/>
        <v>22.1</v>
      </c>
    </row>
    <row r="32" spans="1:13" x14ac:dyDescent="0.5">
      <c r="A32" s="94"/>
      <c r="B32" s="95" t="s">
        <v>38</v>
      </c>
      <c r="C32" s="131" t="s">
        <v>48</v>
      </c>
      <c r="D32" s="96" t="s">
        <v>35</v>
      </c>
      <c r="E32" s="97">
        <v>1.03</v>
      </c>
      <c r="F32" s="91">
        <f>'-7.130'!F17</f>
        <v>0.02</v>
      </c>
      <c r="G32" s="92">
        <f t="shared" si="9"/>
        <v>393.22</v>
      </c>
      <c r="H32" s="91">
        <f t="shared" si="0"/>
        <v>7.86</v>
      </c>
      <c r="I32" s="92">
        <f>I24</f>
        <v>0</v>
      </c>
      <c r="J32" s="91">
        <f t="shared" si="1"/>
        <v>0</v>
      </c>
      <c r="K32" s="92"/>
      <c r="L32" s="91">
        <f t="shared" si="2"/>
        <v>0</v>
      </c>
      <c r="M32" s="93">
        <f t="shared" si="3"/>
        <v>7.86</v>
      </c>
    </row>
    <row r="33" spans="1:14" ht="12" customHeight="1" x14ac:dyDescent="0.5">
      <c r="A33" s="94"/>
      <c r="B33" s="95" t="s">
        <v>39</v>
      </c>
      <c r="C33" s="131" t="s">
        <v>46</v>
      </c>
      <c r="D33" s="96" t="s">
        <v>35</v>
      </c>
      <c r="E33" s="97">
        <v>1.03</v>
      </c>
      <c r="F33" s="91">
        <f>'-7.130'!F18</f>
        <v>0.54</v>
      </c>
      <c r="G33" s="92">
        <f t="shared" si="9"/>
        <v>393.22</v>
      </c>
      <c r="H33" s="91">
        <f t="shared" si="0"/>
        <v>212.34</v>
      </c>
      <c r="I33" s="92">
        <f>I25</f>
        <v>0</v>
      </c>
      <c r="J33" s="91">
        <f t="shared" si="1"/>
        <v>0</v>
      </c>
      <c r="K33" s="92"/>
      <c r="L33" s="91">
        <f t="shared" si="2"/>
        <v>0</v>
      </c>
      <c r="M33" s="93">
        <f t="shared" si="3"/>
        <v>212.34</v>
      </c>
    </row>
    <row r="34" spans="1:14" ht="15" thickBot="1" x14ac:dyDescent="0.55000000000000004">
      <c r="A34" s="132"/>
      <c r="B34" s="95" t="s">
        <v>28</v>
      </c>
      <c r="C34" s="131" t="s">
        <v>47</v>
      </c>
      <c r="D34" s="96"/>
      <c r="E34" s="92">
        <v>0.39</v>
      </c>
      <c r="F34" s="91">
        <f>'-7.130'!F19</f>
        <v>2.39</v>
      </c>
      <c r="G34" s="92">
        <f t="shared" si="9"/>
        <v>26.35</v>
      </c>
      <c r="H34" s="91">
        <f t="shared" si="0"/>
        <v>62.98</v>
      </c>
      <c r="I34" s="92"/>
      <c r="J34" s="91">
        <f t="shared" si="1"/>
        <v>0</v>
      </c>
      <c r="K34" s="92"/>
      <c r="L34" s="91">
        <f t="shared" si="2"/>
        <v>0</v>
      </c>
      <c r="M34" s="93">
        <f t="shared" si="3"/>
        <v>62.98</v>
      </c>
    </row>
    <row r="35" spans="1:14" ht="15" thickBot="1" x14ac:dyDescent="0.55000000000000004">
      <c r="B35" s="77"/>
      <c r="C35" s="77"/>
      <c r="D35" s="98"/>
      <c r="E35" s="77"/>
      <c r="F35" s="133"/>
      <c r="G35" s="75"/>
      <c r="H35" s="101">
        <f>SUM(H11:H34)</f>
        <v>10038.06</v>
      </c>
      <c r="I35" s="102"/>
      <c r="J35" s="103">
        <f>SUM(J11:J34)</f>
        <v>2268.4</v>
      </c>
      <c r="K35" s="102"/>
      <c r="L35" s="103">
        <f>SUM(L11:L34)</f>
        <v>0</v>
      </c>
      <c r="M35" s="134">
        <f>SUM(M11:M34)</f>
        <v>12306.46</v>
      </c>
    </row>
    <row r="36" spans="1:14" s="2" customFormat="1" ht="15" customHeight="1" x14ac:dyDescent="0.5">
      <c r="A36" s="74"/>
      <c r="B36" s="74"/>
      <c r="C36" s="74"/>
      <c r="D36" s="74"/>
      <c r="E36" s="74"/>
      <c r="F36" s="105"/>
      <c r="G36" s="106"/>
      <c r="H36" s="208" t="s">
        <v>26</v>
      </c>
      <c r="I36" s="209"/>
      <c r="J36" s="107"/>
      <c r="K36" s="116">
        <v>0.11</v>
      </c>
      <c r="L36" s="107"/>
      <c r="M36" s="108">
        <f>M35*K36</f>
        <v>1353.71</v>
      </c>
      <c r="N36" s="5"/>
    </row>
    <row r="37" spans="1:14" s="2" customFormat="1" ht="15" customHeight="1" thickBot="1" x14ac:dyDescent="0.55000000000000004">
      <c r="A37" s="74"/>
      <c r="B37" s="74"/>
      <c r="C37" s="74"/>
      <c r="D37" s="109"/>
      <c r="E37" s="110"/>
      <c r="F37" s="105"/>
      <c r="G37" s="105"/>
      <c r="H37" s="210" t="s">
        <v>27</v>
      </c>
      <c r="I37" s="211"/>
      <c r="J37" s="111"/>
      <c r="K37" s="112" t="str">
        <f>K39</f>
        <v>USD</v>
      </c>
      <c r="L37" s="111"/>
      <c r="M37" s="113">
        <f>M35+M36</f>
        <v>13660.17</v>
      </c>
      <c r="N37" s="5"/>
    </row>
    <row r="38" spans="1:14" s="2" customFormat="1" x14ac:dyDescent="0.5">
      <c r="A38" s="74"/>
      <c r="B38" s="74"/>
      <c r="C38" s="74"/>
      <c r="D38" s="109"/>
      <c r="E38" s="110"/>
      <c r="F38" s="105"/>
      <c r="G38" s="106"/>
      <c r="H38" s="208" t="s">
        <v>67</v>
      </c>
      <c r="I38" s="209"/>
      <c r="J38" s="107"/>
      <c r="K38" s="116">
        <v>0.09</v>
      </c>
      <c r="L38" s="107"/>
      <c r="M38" s="108">
        <f>M37*K38</f>
        <v>1229.42</v>
      </c>
      <c r="N38" s="5"/>
    </row>
    <row r="39" spans="1:14" s="2" customFormat="1" ht="15" thickBot="1" x14ac:dyDescent="0.55000000000000004">
      <c r="A39" s="74"/>
      <c r="B39" s="74"/>
      <c r="C39" s="74"/>
      <c r="D39" s="109"/>
      <c r="E39" s="110"/>
      <c r="F39" s="114"/>
      <c r="G39" s="106"/>
      <c r="H39" s="210" t="s">
        <v>27</v>
      </c>
      <c r="I39" s="211"/>
      <c r="J39" s="111"/>
      <c r="K39" s="115" t="s">
        <v>19</v>
      </c>
      <c r="L39" s="111"/>
      <c r="M39" s="113">
        <f>M37+M38</f>
        <v>14889.59</v>
      </c>
      <c r="N39" s="5"/>
    </row>
    <row r="40" spans="1:14" s="2" customFormat="1" x14ac:dyDescent="0.5">
      <c r="A40" s="74"/>
      <c r="B40" s="74"/>
      <c r="C40" s="74"/>
      <c r="D40" s="74"/>
      <c r="E40" s="74"/>
      <c r="F40" s="74"/>
      <c r="G40" s="106"/>
      <c r="H40" s="204" t="s">
        <v>33</v>
      </c>
      <c r="I40" s="205"/>
      <c r="J40" s="107"/>
      <c r="K40" s="116">
        <v>0.18</v>
      </c>
      <c r="L40" s="107"/>
      <c r="M40" s="108">
        <f>M39*K40</f>
        <v>2680.13</v>
      </c>
      <c r="N40" s="5"/>
    </row>
    <row r="41" spans="1:14" s="2" customFormat="1" ht="15" thickBot="1" x14ac:dyDescent="0.55000000000000004">
      <c r="A41" s="74"/>
      <c r="B41" s="74"/>
      <c r="C41" s="74"/>
      <c r="D41" s="74"/>
      <c r="E41" s="74"/>
      <c r="F41" s="74"/>
      <c r="G41" s="106"/>
      <c r="H41" s="206" t="s">
        <v>25</v>
      </c>
      <c r="I41" s="207"/>
      <c r="J41" s="111"/>
      <c r="K41" s="117" t="s">
        <v>19</v>
      </c>
      <c r="L41" s="111"/>
      <c r="M41" s="113">
        <f>M39+M40</f>
        <v>17569.72</v>
      </c>
      <c r="N41" s="5"/>
    </row>
  </sheetData>
  <mergeCells count="21">
    <mergeCell ref="A7:G7"/>
    <mergeCell ref="K2:M2"/>
    <mergeCell ref="D3:I3"/>
    <mergeCell ref="D4:I4"/>
    <mergeCell ref="I8:J8"/>
    <mergeCell ref="K8:L8"/>
    <mergeCell ref="M8:M9"/>
    <mergeCell ref="D5:I5"/>
    <mergeCell ref="C8:C9"/>
    <mergeCell ref="H41:I41"/>
    <mergeCell ref="A8:A9"/>
    <mergeCell ref="B8:B9"/>
    <mergeCell ref="D8:D9"/>
    <mergeCell ref="E8:F8"/>
    <mergeCell ref="G8:H8"/>
    <mergeCell ref="B10:C10"/>
    <mergeCell ref="H36:I36"/>
    <mergeCell ref="H37:I37"/>
    <mergeCell ref="H38:I38"/>
    <mergeCell ref="H39:I39"/>
    <mergeCell ref="H40:I40"/>
  </mergeCells>
  <pageMargins left="0.45" right="0.2" top="0.5" bottom="0.25" header="0.3" footer="0.3"/>
  <pageSetup paperSize="9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M4" sqref="M4"/>
    </sheetView>
  </sheetViews>
  <sheetFormatPr defaultColWidth="8.87890625" defaultRowHeight="14.7" x14ac:dyDescent="0.5"/>
  <cols>
    <col min="1" max="1" width="3.41015625" style="79" bestFit="1" customWidth="1"/>
    <col min="2" max="2" width="35.703125" style="81" customWidth="1"/>
    <col min="3" max="3" width="38.703125" style="81" customWidth="1"/>
    <col min="4" max="4" width="7.29296875" style="79" customWidth="1"/>
    <col min="5" max="5" width="11.5859375" style="79" customWidth="1"/>
    <col min="6" max="6" width="9.87890625" style="79" bestFit="1" customWidth="1"/>
    <col min="7" max="7" width="8.703125" style="79" customWidth="1"/>
    <col min="8" max="8" width="13.1171875" style="79" bestFit="1" customWidth="1"/>
    <col min="9" max="9" width="8.703125" style="79" customWidth="1"/>
    <col min="10" max="10" width="11.87890625" style="79" bestFit="1" customWidth="1"/>
    <col min="11" max="11" width="12.41015625" style="79" bestFit="1" customWidth="1"/>
    <col min="12" max="12" width="17.703125" style="79" customWidth="1"/>
    <col min="13" max="13" width="14.5859375" style="159" bestFit="1" customWidth="1"/>
    <col min="14" max="16384" width="8.87890625" style="4"/>
  </cols>
  <sheetData>
    <row r="1" spans="1:16" x14ac:dyDescent="0.5">
      <c r="A1" s="77"/>
      <c r="B1" s="77"/>
      <c r="C1" s="77"/>
      <c r="D1" s="98"/>
      <c r="E1" s="77"/>
      <c r="F1" s="77"/>
      <c r="G1" s="75"/>
      <c r="H1" s="77"/>
      <c r="I1" s="75"/>
      <c r="J1" s="77"/>
      <c r="K1" s="77"/>
      <c r="L1" s="77"/>
      <c r="M1" s="122"/>
    </row>
    <row r="2" spans="1:16" ht="21.75" customHeight="1" x14ac:dyDescent="0.55000000000000004">
      <c r="A2" s="98"/>
      <c r="B2" s="43" t="s">
        <v>138</v>
      </c>
      <c r="C2" s="135" t="s">
        <v>16</v>
      </c>
      <c r="D2" s="98"/>
      <c r="E2" s="77"/>
      <c r="F2" s="77"/>
      <c r="G2" s="75"/>
      <c r="H2" s="77"/>
      <c r="I2" s="75"/>
      <c r="J2" s="77"/>
      <c r="K2" s="212" t="s">
        <v>18</v>
      </c>
      <c r="L2" s="213"/>
      <c r="M2" s="214"/>
    </row>
    <row r="3" spans="1:16" ht="15" customHeight="1" x14ac:dyDescent="0.5">
      <c r="A3" s="98"/>
      <c r="B3" s="77"/>
      <c r="C3" s="77"/>
      <c r="D3" s="226"/>
      <c r="E3" s="226"/>
      <c r="F3" s="226"/>
      <c r="G3" s="226"/>
      <c r="H3" s="226"/>
      <c r="I3" s="226"/>
      <c r="J3" s="77"/>
      <c r="K3" s="123" t="s">
        <v>19</v>
      </c>
      <c r="L3" s="123" t="s">
        <v>41</v>
      </c>
      <c r="M3" s="92" t="str">
        <f ca="1">'-10.430'!M4</f>
        <v>US $  Rate</v>
      </c>
    </row>
    <row r="4" spans="1:16" ht="16.5" customHeight="1" x14ac:dyDescent="0.5">
      <c r="A4" s="77"/>
      <c r="B4" s="77"/>
      <c r="C4" s="77"/>
      <c r="D4" s="226"/>
      <c r="E4" s="226"/>
      <c r="F4" s="226"/>
      <c r="G4" s="226"/>
      <c r="H4" s="226"/>
      <c r="I4" s="226"/>
      <c r="J4" s="77"/>
      <c r="K4" s="34">
        <f>M49</f>
        <v>84414.55</v>
      </c>
      <c r="L4" s="171">
        <f>K4*M4</f>
        <v>209069.52</v>
      </c>
      <c r="M4" s="189">
        <f>'Unit Price Assumptions'!D4</f>
        <v>2.4767000000000001</v>
      </c>
    </row>
    <row r="5" spans="1:16" ht="21" x14ac:dyDescent="0.5">
      <c r="A5" s="77"/>
      <c r="B5" s="155" t="s">
        <v>83</v>
      </c>
      <c r="C5" s="77"/>
      <c r="D5" s="226"/>
      <c r="E5" s="226"/>
      <c r="F5" s="226"/>
      <c r="G5" s="226"/>
      <c r="H5" s="226"/>
      <c r="I5" s="226"/>
      <c r="J5" s="77"/>
      <c r="K5" s="78"/>
      <c r="L5" s="78"/>
      <c r="M5" s="38"/>
    </row>
    <row r="6" spans="1:16" x14ac:dyDescent="0.5">
      <c r="A6" s="77"/>
      <c r="B6" s="77"/>
      <c r="C6" s="77"/>
      <c r="D6" s="80"/>
      <c r="E6" s="80"/>
      <c r="F6" s="80"/>
      <c r="G6" s="80"/>
      <c r="H6" s="80"/>
      <c r="I6" s="80"/>
      <c r="J6" s="77"/>
      <c r="K6" s="78"/>
      <c r="L6" s="78"/>
      <c r="M6" s="38"/>
    </row>
    <row r="7" spans="1:16" ht="14.25" customHeight="1" thickBot="1" x14ac:dyDescent="0.55000000000000004">
      <c r="A7" s="226"/>
      <c r="B7" s="226"/>
      <c r="C7" s="226"/>
      <c r="D7" s="226"/>
      <c r="E7" s="226"/>
      <c r="F7" s="226"/>
      <c r="G7" s="226"/>
      <c r="H7" s="75"/>
      <c r="I7" s="75"/>
      <c r="J7" s="75"/>
      <c r="K7" s="75"/>
      <c r="L7" s="78"/>
      <c r="M7" s="38"/>
    </row>
    <row r="8" spans="1:16" ht="27" customHeight="1" x14ac:dyDescent="0.5">
      <c r="A8" s="216" t="s">
        <v>97</v>
      </c>
      <c r="B8" s="218" t="s">
        <v>20</v>
      </c>
      <c r="C8" s="220" t="s">
        <v>42</v>
      </c>
      <c r="D8" s="222" t="s">
        <v>31</v>
      </c>
      <c r="E8" s="202" t="s">
        <v>21</v>
      </c>
      <c r="F8" s="203"/>
      <c r="G8" s="202" t="s">
        <v>22</v>
      </c>
      <c r="H8" s="203"/>
      <c r="I8" s="202" t="s">
        <v>23</v>
      </c>
      <c r="J8" s="203"/>
      <c r="K8" s="202" t="s">
        <v>24</v>
      </c>
      <c r="L8" s="203"/>
      <c r="M8" s="227" t="s">
        <v>18</v>
      </c>
    </row>
    <row r="9" spans="1:16" ht="29.35" x14ac:dyDescent="0.5">
      <c r="A9" s="217"/>
      <c r="B9" s="219"/>
      <c r="C9" s="221"/>
      <c r="D9" s="223"/>
      <c r="E9" s="82" t="s">
        <v>115</v>
      </c>
      <c r="F9" s="83" t="s">
        <v>18</v>
      </c>
      <c r="G9" s="82" t="s">
        <v>104</v>
      </c>
      <c r="H9" s="83" t="s">
        <v>18</v>
      </c>
      <c r="I9" s="82" t="s">
        <v>104</v>
      </c>
      <c r="J9" s="83" t="s">
        <v>18</v>
      </c>
      <c r="K9" s="82" t="s">
        <v>32</v>
      </c>
      <c r="L9" s="83" t="s">
        <v>18</v>
      </c>
      <c r="M9" s="228"/>
    </row>
    <row r="10" spans="1:16" x14ac:dyDescent="0.5">
      <c r="A10" s="84" t="s">
        <v>1</v>
      </c>
      <c r="B10" s="200" t="s">
        <v>13</v>
      </c>
      <c r="C10" s="201"/>
      <c r="D10" s="87" t="s">
        <v>2</v>
      </c>
      <c r="E10" s="86" t="s">
        <v>3</v>
      </c>
      <c r="F10" s="87" t="s">
        <v>14</v>
      </c>
      <c r="G10" s="86" t="s">
        <v>4</v>
      </c>
      <c r="H10" s="87" t="s">
        <v>5</v>
      </c>
      <c r="I10" s="86" t="s">
        <v>6</v>
      </c>
      <c r="J10" s="87" t="s">
        <v>7</v>
      </c>
      <c r="K10" s="86" t="s">
        <v>8</v>
      </c>
      <c r="L10" s="87" t="s">
        <v>9</v>
      </c>
      <c r="M10" s="168" t="s">
        <v>10</v>
      </c>
      <c r="N10" s="8"/>
    </row>
    <row r="11" spans="1:16" s="1" customFormat="1" ht="29.35" x14ac:dyDescent="0.5">
      <c r="A11" s="94">
        <v>1</v>
      </c>
      <c r="B11" s="169" t="s">
        <v>60</v>
      </c>
      <c r="C11" s="169" t="s">
        <v>61</v>
      </c>
      <c r="D11" s="91" t="s">
        <v>11</v>
      </c>
      <c r="E11" s="91"/>
      <c r="F11" s="170">
        <v>246.44</v>
      </c>
      <c r="G11" s="92"/>
      <c r="H11" s="91">
        <f t="shared" ref="H11:H42" si="0">F11*G11</f>
        <v>0</v>
      </c>
      <c r="I11" s="92">
        <f>'Unit Price Assumptions'!D19</f>
        <v>52.99</v>
      </c>
      <c r="J11" s="91">
        <f>F11*I11</f>
        <v>13058.86</v>
      </c>
      <c r="K11" s="92">
        <v>0</v>
      </c>
      <c r="L11" s="91">
        <f>F11*K11</f>
        <v>0</v>
      </c>
      <c r="M11" s="93">
        <f>H11+J11+L11</f>
        <v>13058.86</v>
      </c>
      <c r="O11" s="9"/>
      <c r="P11" s="10"/>
    </row>
    <row r="12" spans="1:16" x14ac:dyDescent="0.5">
      <c r="A12" s="94"/>
      <c r="B12" s="95" t="s">
        <v>57</v>
      </c>
      <c r="C12" s="95" t="s">
        <v>62</v>
      </c>
      <c r="D12" s="96" t="s">
        <v>11</v>
      </c>
      <c r="E12" s="97">
        <v>1.0149999999999999</v>
      </c>
      <c r="F12" s="91">
        <f>$F$11*E12</f>
        <v>250.14</v>
      </c>
      <c r="G12" s="92">
        <f>'Unit Price Assumptions'!C8</f>
        <v>49.61</v>
      </c>
      <c r="H12" s="91">
        <f t="shared" si="0"/>
        <v>12409.45</v>
      </c>
      <c r="I12" s="92"/>
      <c r="J12" s="91">
        <f t="shared" ref="J12:J42" si="1">F12*I12</f>
        <v>0</v>
      </c>
      <c r="K12" s="92"/>
      <c r="L12" s="91">
        <f t="shared" ref="L12:L42" si="2">F12*K12</f>
        <v>0</v>
      </c>
      <c r="M12" s="93">
        <f t="shared" ref="M12:M42" si="3">H12+J12+L12</f>
        <v>12409.45</v>
      </c>
      <c r="O12" s="9"/>
      <c r="P12" s="6"/>
    </row>
    <row r="13" spans="1:16" x14ac:dyDescent="0.5">
      <c r="A13" s="94"/>
      <c r="B13" s="95" t="s">
        <v>29</v>
      </c>
      <c r="C13" s="95" t="s">
        <v>44</v>
      </c>
      <c r="D13" s="96" t="s">
        <v>15</v>
      </c>
      <c r="E13" s="97">
        <v>1.05</v>
      </c>
      <c r="F13" s="91">
        <f t="shared" ref="F13:F18" si="4">$F$11*E13</f>
        <v>258.76</v>
      </c>
      <c r="G13" s="92">
        <f>'Unit Price Assumptions'!C12</f>
        <v>8.5500000000000007</v>
      </c>
      <c r="H13" s="91">
        <f t="shared" si="0"/>
        <v>2212.4</v>
      </c>
      <c r="I13" s="92"/>
      <c r="J13" s="91">
        <f t="shared" si="1"/>
        <v>0</v>
      </c>
      <c r="K13" s="92"/>
      <c r="L13" s="91">
        <f t="shared" si="2"/>
        <v>0</v>
      </c>
      <c r="M13" s="93">
        <f t="shared" si="3"/>
        <v>2212.4</v>
      </c>
      <c r="O13" s="9"/>
      <c r="P13" s="6"/>
    </row>
    <row r="14" spans="1:16" x14ac:dyDescent="0.5">
      <c r="A14" s="94"/>
      <c r="B14" s="95" t="s">
        <v>37</v>
      </c>
      <c r="C14" s="95" t="s">
        <v>43</v>
      </c>
      <c r="D14" s="96" t="s">
        <v>11</v>
      </c>
      <c r="E14" s="97">
        <v>4.4999999999999998E-2</v>
      </c>
      <c r="F14" s="91">
        <f>$F$11*E14</f>
        <v>11.09</v>
      </c>
      <c r="G14" s="92">
        <f>'Unit Price Assumptions'!C13</f>
        <v>383.23</v>
      </c>
      <c r="H14" s="91">
        <f t="shared" si="0"/>
        <v>4250.0200000000004</v>
      </c>
      <c r="I14" s="92"/>
      <c r="J14" s="91">
        <f t="shared" si="1"/>
        <v>0</v>
      </c>
      <c r="K14" s="92"/>
      <c r="L14" s="91">
        <f t="shared" si="2"/>
        <v>0</v>
      </c>
      <c r="M14" s="93">
        <f t="shared" si="3"/>
        <v>4250.0200000000004</v>
      </c>
      <c r="P14" s="6"/>
    </row>
    <row r="15" spans="1:16" x14ac:dyDescent="0.5">
      <c r="A15" s="94"/>
      <c r="B15" s="95" t="s">
        <v>30</v>
      </c>
      <c r="C15" s="95" t="s">
        <v>45</v>
      </c>
      <c r="D15" s="96" t="s">
        <v>12</v>
      </c>
      <c r="E15" s="97">
        <v>2.5</v>
      </c>
      <c r="F15" s="91">
        <f t="shared" si="4"/>
        <v>616.1</v>
      </c>
      <c r="G15" s="92">
        <f>'Unit Price Assumptions'!C15</f>
        <v>1.44</v>
      </c>
      <c r="H15" s="91">
        <f t="shared" si="0"/>
        <v>887.18</v>
      </c>
      <c r="I15" s="92"/>
      <c r="J15" s="91">
        <f t="shared" si="1"/>
        <v>0</v>
      </c>
      <c r="K15" s="92"/>
      <c r="L15" s="91">
        <f t="shared" si="2"/>
        <v>0</v>
      </c>
      <c r="M15" s="93">
        <f t="shared" si="3"/>
        <v>887.18</v>
      </c>
      <c r="P15" s="6"/>
    </row>
    <row r="16" spans="1:16" x14ac:dyDescent="0.5">
      <c r="A16" s="94"/>
      <c r="B16" s="95" t="s">
        <v>38</v>
      </c>
      <c r="C16" s="95" t="s">
        <v>48</v>
      </c>
      <c r="D16" s="96" t="s">
        <v>35</v>
      </c>
      <c r="E16" s="97">
        <v>1.03</v>
      </c>
      <c r="F16" s="91">
        <f>E16*4.303</f>
        <v>4.43</v>
      </c>
      <c r="G16" s="92">
        <f>'Unit Price Assumptions'!C10</f>
        <v>393.22</v>
      </c>
      <c r="H16" s="91">
        <f t="shared" si="0"/>
        <v>1741.96</v>
      </c>
      <c r="I16" s="92">
        <f>'Unit Price Assumptions'!D10</f>
        <v>0</v>
      </c>
      <c r="J16" s="91">
        <f t="shared" si="1"/>
        <v>0</v>
      </c>
      <c r="K16" s="92"/>
      <c r="L16" s="91">
        <f t="shared" si="2"/>
        <v>0</v>
      </c>
      <c r="M16" s="93">
        <f t="shared" si="3"/>
        <v>1741.96</v>
      </c>
      <c r="P16" s="6"/>
    </row>
    <row r="17" spans="1:13" x14ac:dyDescent="0.5">
      <c r="A17" s="94"/>
      <c r="B17" s="95" t="s">
        <v>39</v>
      </c>
      <c r="C17" s="95" t="s">
        <v>46</v>
      </c>
      <c r="D17" s="96" t="s">
        <v>35</v>
      </c>
      <c r="E17" s="97">
        <v>1.03</v>
      </c>
      <c r="F17" s="91">
        <f>E17*26.958</f>
        <v>27.77</v>
      </c>
      <c r="G17" s="92">
        <f>'Unit Price Assumptions'!C11</f>
        <v>393.22</v>
      </c>
      <c r="H17" s="91">
        <f t="shared" si="0"/>
        <v>10919.72</v>
      </c>
      <c r="I17" s="92">
        <f>'Unit Price Assumptions'!D11</f>
        <v>0</v>
      </c>
      <c r="J17" s="91">
        <f t="shared" si="1"/>
        <v>0</v>
      </c>
      <c r="K17" s="92"/>
      <c r="L17" s="91">
        <f t="shared" si="2"/>
        <v>0</v>
      </c>
      <c r="M17" s="93">
        <f t="shared" si="3"/>
        <v>10919.72</v>
      </c>
    </row>
    <row r="18" spans="1:13" x14ac:dyDescent="0.5">
      <c r="A18" s="94"/>
      <c r="B18" s="95" t="s">
        <v>28</v>
      </c>
      <c r="C18" s="95" t="s">
        <v>47</v>
      </c>
      <c r="D18" s="96"/>
      <c r="E18" s="92">
        <v>0.16</v>
      </c>
      <c r="F18" s="91">
        <f t="shared" si="4"/>
        <v>39.43</v>
      </c>
      <c r="G18" s="92">
        <f>'Unit Price Assumptions'!C16</f>
        <v>26.35</v>
      </c>
      <c r="H18" s="91">
        <f t="shared" si="0"/>
        <v>1038.98</v>
      </c>
      <c r="I18" s="92"/>
      <c r="J18" s="91">
        <f t="shared" si="1"/>
        <v>0</v>
      </c>
      <c r="K18" s="92"/>
      <c r="L18" s="91">
        <f t="shared" si="2"/>
        <v>0</v>
      </c>
      <c r="M18" s="93">
        <f t="shared" si="3"/>
        <v>1038.98</v>
      </c>
    </row>
    <row r="19" spans="1:13" s="1" customFormat="1" ht="29.35" x14ac:dyDescent="0.5">
      <c r="A19" s="94">
        <v>2</v>
      </c>
      <c r="B19" s="169" t="s">
        <v>63</v>
      </c>
      <c r="C19" s="169" t="s">
        <v>64</v>
      </c>
      <c r="D19" s="91" t="s">
        <v>11</v>
      </c>
      <c r="E19" s="91"/>
      <c r="F19" s="170">
        <v>24.53</v>
      </c>
      <c r="G19" s="92"/>
      <c r="H19" s="91">
        <f t="shared" si="0"/>
        <v>0</v>
      </c>
      <c r="I19" s="92">
        <f>'Unit Price Assumptions'!D17</f>
        <v>47.95</v>
      </c>
      <c r="J19" s="91">
        <f t="shared" si="1"/>
        <v>1176.21</v>
      </c>
      <c r="K19" s="92">
        <f>K11</f>
        <v>0</v>
      </c>
      <c r="L19" s="91">
        <f t="shared" si="2"/>
        <v>0</v>
      </c>
      <c r="M19" s="93">
        <f t="shared" si="3"/>
        <v>1176.21</v>
      </c>
    </row>
    <row r="20" spans="1:13" x14ac:dyDescent="0.5">
      <c r="A20" s="94"/>
      <c r="B20" s="95" t="s">
        <v>57</v>
      </c>
      <c r="C20" s="131" t="s">
        <v>62</v>
      </c>
      <c r="D20" s="96" t="s">
        <v>11</v>
      </c>
      <c r="E20" s="97">
        <v>1.0149999999999999</v>
      </c>
      <c r="F20" s="91">
        <f>$F$19*E20</f>
        <v>24.9</v>
      </c>
      <c r="G20" s="92">
        <f>G12</f>
        <v>49.61</v>
      </c>
      <c r="H20" s="91">
        <f t="shared" si="0"/>
        <v>1235.29</v>
      </c>
      <c r="I20" s="92"/>
      <c r="J20" s="91">
        <f t="shared" si="1"/>
        <v>0</v>
      </c>
      <c r="K20" s="92"/>
      <c r="L20" s="91">
        <f t="shared" si="2"/>
        <v>0</v>
      </c>
      <c r="M20" s="93">
        <f t="shared" si="3"/>
        <v>1235.29</v>
      </c>
    </row>
    <row r="21" spans="1:13" x14ac:dyDescent="0.5">
      <c r="A21" s="94"/>
      <c r="B21" s="95" t="s">
        <v>29</v>
      </c>
      <c r="C21" s="131" t="s">
        <v>44</v>
      </c>
      <c r="D21" s="96" t="s">
        <v>15</v>
      </c>
      <c r="E21" s="97">
        <v>2.64</v>
      </c>
      <c r="F21" s="91">
        <f>$F$19*E21</f>
        <v>64.760000000000005</v>
      </c>
      <c r="G21" s="92">
        <f t="shared" ref="G21:G26" si="5">G13</f>
        <v>8.5500000000000007</v>
      </c>
      <c r="H21" s="91">
        <f t="shared" si="0"/>
        <v>553.70000000000005</v>
      </c>
      <c r="I21" s="92"/>
      <c r="J21" s="91">
        <f t="shared" si="1"/>
        <v>0</v>
      </c>
      <c r="K21" s="92"/>
      <c r="L21" s="91">
        <f t="shared" si="2"/>
        <v>0</v>
      </c>
      <c r="M21" s="93">
        <f t="shared" si="3"/>
        <v>553.70000000000005</v>
      </c>
    </row>
    <row r="22" spans="1:13" x14ac:dyDescent="0.5">
      <c r="A22" s="94"/>
      <c r="B22" s="95" t="s">
        <v>37</v>
      </c>
      <c r="C22" s="95" t="s">
        <v>43</v>
      </c>
      <c r="D22" s="96" t="s">
        <v>11</v>
      </c>
      <c r="E22" s="97">
        <v>0.2</v>
      </c>
      <c r="F22" s="91">
        <f>$F$19*E22</f>
        <v>4.91</v>
      </c>
      <c r="G22" s="92">
        <f t="shared" si="5"/>
        <v>383.23</v>
      </c>
      <c r="H22" s="91">
        <f t="shared" si="0"/>
        <v>1881.66</v>
      </c>
      <c r="I22" s="92"/>
      <c r="J22" s="91">
        <f t="shared" si="1"/>
        <v>0</v>
      </c>
      <c r="K22" s="92"/>
      <c r="L22" s="91">
        <f t="shared" si="2"/>
        <v>0</v>
      </c>
      <c r="M22" s="93">
        <f t="shared" si="3"/>
        <v>1881.66</v>
      </c>
    </row>
    <row r="23" spans="1:13" x14ac:dyDescent="0.5">
      <c r="A23" s="94"/>
      <c r="B23" s="95" t="s">
        <v>30</v>
      </c>
      <c r="C23" s="131" t="s">
        <v>45</v>
      </c>
      <c r="D23" s="96" t="s">
        <v>12</v>
      </c>
      <c r="E23" s="97">
        <v>2.5</v>
      </c>
      <c r="F23" s="91">
        <f t="shared" ref="F23:F26" si="6">$F$19*E23</f>
        <v>61.33</v>
      </c>
      <c r="G23" s="92">
        <f t="shared" si="5"/>
        <v>1.44</v>
      </c>
      <c r="H23" s="91">
        <f t="shared" si="0"/>
        <v>88.32</v>
      </c>
      <c r="I23" s="92"/>
      <c r="J23" s="91">
        <f t="shared" si="1"/>
        <v>0</v>
      </c>
      <c r="K23" s="92"/>
      <c r="L23" s="91">
        <f t="shared" si="2"/>
        <v>0</v>
      </c>
      <c r="M23" s="93">
        <f t="shared" si="3"/>
        <v>88.32</v>
      </c>
    </row>
    <row r="24" spans="1:13" x14ac:dyDescent="0.5">
      <c r="A24" s="94"/>
      <c r="B24" s="95" t="s">
        <v>38</v>
      </c>
      <c r="C24" s="131" t="s">
        <v>48</v>
      </c>
      <c r="D24" s="96" t="s">
        <v>35</v>
      </c>
      <c r="E24" s="97">
        <v>1.03</v>
      </c>
      <c r="F24" s="91">
        <f>E24*1.014</f>
        <v>1.04</v>
      </c>
      <c r="G24" s="92">
        <f t="shared" si="5"/>
        <v>393.22</v>
      </c>
      <c r="H24" s="91">
        <f t="shared" si="0"/>
        <v>408.95</v>
      </c>
      <c r="I24" s="92">
        <f>I16</f>
        <v>0</v>
      </c>
      <c r="J24" s="91">
        <f t="shared" si="1"/>
        <v>0</v>
      </c>
      <c r="K24" s="92"/>
      <c r="L24" s="91">
        <f t="shared" si="2"/>
        <v>0</v>
      </c>
      <c r="M24" s="93">
        <f t="shared" si="3"/>
        <v>408.95</v>
      </c>
    </row>
    <row r="25" spans="1:13" x14ac:dyDescent="0.5">
      <c r="A25" s="94"/>
      <c r="B25" s="95" t="s">
        <v>39</v>
      </c>
      <c r="C25" s="131" t="s">
        <v>46</v>
      </c>
      <c r="D25" s="96" t="s">
        <v>35</v>
      </c>
      <c r="E25" s="97">
        <v>1.03</v>
      </c>
      <c r="F25" s="91">
        <f>E25*4.311</f>
        <v>4.4400000000000004</v>
      </c>
      <c r="G25" s="92">
        <f t="shared" si="5"/>
        <v>393.22</v>
      </c>
      <c r="H25" s="91">
        <f t="shared" si="0"/>
        <v>1745.9</v>
      </c>
      <c r="I25" s="92">
        <f>I17</f>
        <v>0</v>
      </c>
      <c r="J25" s="91">
        <f t="shared" si="1"/>
        <v>0</v>
      </c>
      <c r="K25" s="92"/>
      <c r="L25" s="91">
        <f t="shared" si="2"/>
        <v>0</v>
      </c>
      <c r="M25" s="93">
        <f t="shared" si="3"/>
        <v>1745.9</v>
      </c>
    </row>
    <row r="26" spans="1:13" x14ac:dyDescent="0.5">
      <c r="A26" s="132"/>
      <c r="B26" s="95" t="s">
        <v>28</v>
      </c>
      <c r="C26" s="131" t="s">
        <v>47</v>
      </c>
      <c r="D26" s="96"/>
      <c r="E26" s="92">
        <v>0.13</v>
      </c>
      <c r="F26" s="91">
        <f t="shared" si="6"/>
        <v>3.19</v>
      </c>
      <c r="G26" s="92">
        <f t="shared" si="5"/>
        <v>26.35</v>
      </c>
      <c r="H26" s="91">
        <f t="shared" si="0"/>
        <v>84.06</v>
      </c>
      <c r="I26" s="92"/>
      <c r="J26" s="91">
        <f t="shared" si="1"/>
        <v>0</v>
      </c>
      <c r="K26" s="92"/>
      <c r="L26" s="91">
        <f t="shared" si="2"/>
        <v>0</v>
      </c>
      <c r="M26" s="93">
        <f t="shared" si="3"/>
        <v>84.06</v>
      </c>
    </row>
    <row r="27" spans="1:13" s="1" customFormat="1" ht="29.35" x14ac:dyDescent="0.5">
      <c r="A27" s="94">
        <v>3</v>
      </c>
      <c r="B27" s="169" t="s">
        <v>71</v>
      </c>
      <c r="C27" s="169" t="s">
        <v>66</v>
      </c>
      <c r="D27" s="91" t="s">
        <v>11</v>
      </c>
      <c r="E27" s="91"/>
      <c r="F27" s="170">
        <f>16.238</f>
        <v>16.239999999999998</v>
      </c>
      <c r="G27" s="92"/>
      <c r="H27" s="91">
        <f t="shared" si="0"/>
        <v>0</v>
      </c>
      <c r="I27" s="92">
        <f>'Unit Price Assumptions'!D18</f>
        <v>52.99</v>
      </c>
      <c r="J27" s="91">
        <f t="shared" ref="J27:J34" si="7">F27*I27</f>
        <v>860.56</v>
      </c>
      <c r="K27" s="92">
        <f>K19</f>
        <v>0</v>
      </c>
      <c r="L27" s="91">
        <f t="shared" ref="L27:L34" si="8">F27*K27</f>
        <v>0</v>
      </c>
      <c r="M27" s="93">
        <f t="shared" ref="M27:M34" si="9">H27+J27+L27</f>
        <v>860.56</v>
      </c>
    </row>
    <row r="28" spans="1:13" x14ac:dyDescent="0.5">
      <c r="A28" s="94"/>
      <c r="B28" s="95" t="s">
        <v>57</v>
      </c>
      <c r="C28" s="131" t="s">
        <v>62</v>
      </c>
      <c r="D28" s="96" t="s">
        <v>11</v>
      </c>
      <c r="E28" s="97">
        <v>1.0149999999999999</v>
      </c>
      <c r="F28" s="91">
        <f>E28*F27</f>
        <v>16.48</v>
      </c>
      <c r="G28" s="92">
        <f>G20</f>
        <v>49.61</v>
      </c>
      <c r="H28" s="91">
        <f t="shared" si="0"/>
        <v>817.57</v>
      </c>
      <c r="I28" s="92"/>
      <c r="J28" s="91">
        <f t="shared" si="7"/>
        <v>0</v>
      </c>
      <c r="K28" s="92"/>
      <c r="L28" s="91">
        <f t="shared" si="8"/>
        <v>0</v>
      </c>
      <c r="M28" s="93">
        <f t="shared" si="9"/>
        <v>817.57</v>
      </c>
    </row>
    <row r="29" spans="1:13" x14ac:dyDescent="0.5">
      <c r="A29" s="94"/>
      <c r="B29" s="95" t="s">
        <v>29</v>
      </c>
      <c r="C29" s="131" t="s">
        <v>44</v>
      </c>
      <c r="D29" s="96" t="s">
        <v>15</v>
      </c>
      <c r="E29" s="97">
        <v>2.64</v>
      </c>
      <c r="F29" s="91">
        <f>E29*F27</f>
        <v>42.87</v>
      </c>
      <c r="G29" s="92">
        <f t="shared" ref="G29:G34" si="10">G21</f>
        <v>8.5500000000000007</v>
      </c>
      <c r="H29" s="91">
        <f t="shared" si="0"/>
        <v>366.54</v>
      </c>
      <c r="I29" s="92"/>
      <c r="J29" s="91">
        <f t="shared" si="7"/>
        <v>0</v>
      </c>
      <c r="K29" s="92"/>
      <c r="L29" s="91">
        <f t="shared" si="8"/>
        <v>0</v>
      </c>
      <c r="M29" s="93">
        <f t="shared" si="9"/>
        <v>366.54</v>
      </c>
    </row>
    <row r="30" spans="1:13" x14ac:dyDescent="0.5">
      <c r="A30" s="94"/>
      <c r="B30" s="95" t="s">
        <v>37</v>
      </c>
      <c r="C30" s="95" t="s">
        <v>43</v>
      </c>
      <c r="D30" s="96" t="s">
        <v>11</v>
      </c>
      <c r="E30" s="162">
        <v>0.2</v>
      </c>
      <c r="F30" s="91">
        <f>E30*F27</f>
        <v>3.25</v>
      </c>
      <c r="G30" s="92">
        <f t="shared" si="10"/>
        <v>383.23</v>
      </c>
      <c r="H30" s="91">
        <f t="shared" si="0"/>
        <v>1245.5</v>
      </c>
      <c r="I30" s="92"/>
      <c r="J30" s="91">
        <f t="shared" si="7"/>
        <v>0</v>
      </c>
      <c r="K30" s="92"/>
      <c r="L30" s="91">
        <f t="shared" si="8"/>
        <v>0</v>
      </c>
      <c r="M30" s="93">
        <f t="shared" si="9"/>
        <v>1245.5</v>
      </c>
    </row>
    <row r="31" spans="1:13" x14ac:dyDescent="0.5">
      <c r="A31" s="94"/>
      <c r="B31" s="95" t="s">
        <v>30</v>
      </c>
      <c r="C31" s="131" t="s">
        <v>45</v>
      </c>
      <c r="D31" s="96" t="s">
        <v>12</v>
      </c>
      <c r="E31" s="97">
        <v>2.5</v>
      </c>
      <c r="F31" s="91">
        <f>E31*F27</f>
        <v>40.6</v>
      </c>
      <c r="G31" s="92">
        <f t="shared" si="10"/>
        <v>1.44</v>
      </c>
      <c r="H31" s="91">
        <f t="shared" si="0"/>
        <v>58.46</v>
      </c>
      <c r="I31" s="92"/>
      <c r="J31" s="91">
        <f t="shared" si="7"/>
        <v>0</v>
      </c>
      <c r="K31" s="92"/>
      <c r="L31" s="91">
        <f t="shared" si="8"/>
        <v>0</v>
      </c>
      <c r="M31" s="93">
        <f t="shared" si="9"/>
        <v>58.46</v>
      </c>
    </row>
    <row r="32" spans="1:13" x14ac:dyDescent="0.5">
      <c r="A32" s="94"/>
      <c r="B32" s="95" t="s">
        <v>38</v>
      </c>
      <c r="C32" s="131" t="s">
        <v>48</v>
      </c>
      <c r="D32" s="96" t="s">
        <v>35</v>
      </c>
      <c r="E32" s="97">
        <v>1.03</v>
      </c>
      <c r="F32" s="91">
        <f>E32*0.096</f>
        <v>0.1</v>
      </c>
      <c r="G32" s="92">
        <f t="shared" si="10"/>
        <v>393.22</v>
      </c>
      <c r="H32" s="91">
        <f t="shared" si="0"/>
        <v>39.32</v>
      </c>
      <c r="I32" s="92">
        <f>I24</f>
        <v>0</v>
      </c>
      <c r="J32" s="91">
        <f t="shared" si="7"/>
        <v>0</v>
      </c>
      <c r="K32" s="92"/>
      <c r="L32" s="91">
        <f t="shared" si="8"/>
        <v>0</v>
      </c>
      <c r="M32" s="93">
        <f t="shared" si="9"/>
        <v>39.32</v>
      </c>
    </row>
    <row r="33" spans="1:14" x14ac:dyDescent="0.5">
      <c r="A33" s="94"/>
      <c r="B33" s="95" t="s">
        <v>39</v>
      </c>
      <c r="C33" s="131" t="s">
        <v>46</v>
      </c>
      <c r="D33" s="96" t="s">
        <v>35</v>
      </c>
      <c r="E33" s="97">
        <v>1.03</v>
      </c>
      <c r="F33" s="91">
        <f>E33*2.302</f>
        <v>2.37</v>
      </c>
      <c r="G33" s="92">
        <f t="shared" si="10"/>
        <v>393.22</v>
      </c>
      <c r="H33" s="91">
        <f t="shared" si="0"/>
        <v>931.93</v>
      </c>
      <c r="I33" s="92">
        <f>I25</f>
        <v>0</v>
      </c>
      <c r="J33" s="91">
        <f t="shared" si="7"/>
        <v>0</v>
      </c>
      <c r="K33" s="92"/>
      <c r="L33" s="91">
        <f t="shared" si="8"/>
        <v>0</v>
      </c>
      <c r="M33" s="93">
        <f t="shared" si="9"/>
        <v>931.93</v>
      </c>
    </row>
    <row r="34" spans="1:14" x14ac:dyDescent="0.5">
      <c r="A34" s="132"/>
      <c r="B34" s="95" t="s">
        <v>28</v>
      </c>
      <c r="C34" s="131" t="s">
        <v>47</v>
      </c>
      <c r="D34" s="96"/>
      <c r="E34" s="92">
        <v>0.13</v>
      </c>
      <c r="F34" s="91">
        <f>E34*F27</f>
        <v>2.11</v>
      </c>
      <c r="G34" s="92">
        <f t="shared" si="10"/>
        <v>26.35</v>
      </c>
      <c r="H34" s="91">
        <f t="shared" si="0"/>
        <v>55.6</v>
      </c>
      <c r="I34" s="92"/>
      <c r="J34" s="91">
        <f t="shared" si="7"/>
        <v>0</v>
      </c>
      <c r="K34" s="92"/>
      <c r="L34" s="91">
        <f t="shared" si="8"/>
        <v>0</v>
      </c>
      <c r="M34" s="93">
        <f t="shared" si="9"/>
        <v>55.6</v>
      </c>
    </row>
    <row r="35" spans="1:14" s="1" customFormat="1" ht="29.35" x14ac:dyDescent="0.5">
      <c r="A35" s="94">
        <v>4</v>
      </c>
      <c r="B35" s="169" t="s">
        <v>36</v>
      </c>
      <c r="C35" s="169" t="s">
        <v>65</v>
      </c>
      <c r="D35" s="91" t="s">
        <v>11</v>
      </c>
      <c r="E35" s="91"/>
      <c r="F35" s="170">
        <f>'-3.230'!F27</f>
        <v>6.14</v>
      </c>
      <c r="G35" s="92"/>
      <c r="H35" s="91">
        <f t="shared" si="0"/>
        <v>0</v>
      </c>
      <c r="I35" s="92">
        <f>'Unit Price Assumptions'!D20</f>
        <v>63.09</v>
      </c>
      <c r="J35" s="91">
        <f t="shared" si="1"/>
        <v>387.37</v>
      </c>
      <c r="K35" s="92">
        <f>K27</f>
        <v>0</v>
      </c>
      <c r="L35" s="91">
        <f t="shared" si="2"/>
        <v>0</v>
      </c>
      <c r="M35" s="93">
        <f t="shared" si="3"/>
        <v>387.37</v>
      </c>
    </row>
    <row r="36" spans="1:14" x14ac:dyDescent="0.5">
      <c r="A36" s="94"/>
      <c r="B36" s="95" t="s">
        <v>57</v>
      </c>
      <c r="C36" s="131" t="s">
        <v>62</v>
      </c>
      <c r="D36" s="96" t="s">
        <v>11</v>
      </c>
      <c r="E36" s="97">
        <v>1.0149999999999999</v>
      </c>
      <c r="F36" s="91">
        <f>'-3.230'!F28</f>
        <v>6.23</v>
      </c>
      <c r="G36" s="92">
        <f>G28</f>
        <v>49.61</v>
      </c>
      <c r="H36" s="91">
        <f t="shared" si="0"/>
        <v>309.07</v>
      </c>
      <c r="I36" s="92"/>
      <c r="J36" s="91">
        <f t="shared" si="1"/>
        <v>0</v>
      </c>
      <c r="K36" s="92"/>
      <c r="L36" s="91">
        <f t="shared" si="2"/>
        <v>0</v>
      </c>
      <c r="M36" s="93">
        <f t="shared" si="3"/>
        <v>309.07</v>
      </c>
    </row>
    <row r="37" spans="1:14" x14ac:dyDescent="0.5">
      <c r="A37" s="94"/>
      <c r="B37" s="95" t="s">
        <v>29</v>
      </c>
      <c r="C37" s="131" t="s">
        <v>44</v>
      </c>
      <c r="D37" s="96" t="s">
        <v>15</v>
      </c>
      <c r="E37" s="97">
        <v>0.57999999999999996</v>
      </c>
      <c r="F37" s="91">
        <f>'-3.230'!F29</f>
        <v>3.56</v>
      </c>
      <c r="G37" s="92">
        <f t="shared" ref="G37:G42" si="11">G29</f>
        <v>8.5500000000000007</v>
      </c>
      <c r="H37" s="91">
        <f t="shared" si="0"/>
        <v>30.44</v>
      </c>
      <c r="I37" s="92"/>
      <c r="J37" s="91">
        <f t="shared" si="1"/>
        <v>0</v>
      </c>
      <c r="K37" s="92"/>
      <c r="L37" s="91">
        <f t="shared" si="2"/>
        <v>0</v>
      </c>
      <c r="M37" s="93">
        <f t="shared" si="3"/>
        <v>30.44</v>
      </c>
    </row>
    <row r="38" spans="1:14" x14ac:dyDescent="0.5">
      <c r="A38" s="94"/>
      <c r="B38" s="95" t="s">
        <v>34</v>
      </c>
      <c r="C38" s="131" t="s">
        <v>49</v>
      </c>
      <c r="D38" s="96" t="s">
        <v>11</v>
      </c>
      <c r="E38" s="97">
        <v>0.02</v>
      </c>
      <c r="F38" s="91">
        <f>'-3.230'!F30</f>
        <v>0.12</v>
      </c>
      <c r="G38" s="92">
        <f>'Unit Price Assumptions'!C14</f>
        <v>222.41</v>
      </c>
      <c r="H38" s="91">
        <f t="shared" si="0"/>
        <v>26.69</v>
      </c>
      <c r="I38" s="92"/>
      <c r="J38" s="91">
        <f t="shared" si="1"/>
        <v>0</v>
      </c>
      <c r="K38" s="92"/>
      <c r="L38" s="91">
        <f t="shared" si="2"/>
        <v>0</v>
      </c>
      <c r="M38" s="93">
        <f t="shared" si="3"/>
        <v>26.69</v>
      </c>
    </row>
    <row r="39" spans="1:14" x14ac:dyDescent="0.5">
      <c r="A39" s="94"/>
      <c r="B39" s="95" t="s">
        <v>30</v>
      </c>
      <c r="C39" s="131" t="s">
        <v>45</v>
      </c>
      <c r="D39" s="96" t="s">
        <v>12</v>
      </c>
      <c r="E39" s="97">
        <v>2.5</v>
      </c>
      <c r="F39" s="91">
        <f>'-3.230'!F31</f>
        <v>15.35</v>
      </c>
      <c r="G39" s="92">
        <f t="shared" si="11"/>
        <v>1.44</v>
      </c>
      <c r="H39" s="91">
        <f t="shared" si="0"/>
        <v>22.1</v>
      </c>
      <c r="I39" s="92"/>
      <c r="J39" s="91">
        <f t="shared" si="1"/>
        <v>0</v>
      </c>
      <c r="K39" s="92"/>
      <c r="L39" s="91">
        <f t="shared" si="2"/>
        <v>0</v>
      </c>
      <c r="M39" s="93">
        <f t="shared" si="3"/>
        <v>22.1</v>
      </c>
    </row>
    <row r="40" spans="1:14" x14ac:dyDescent="0.5">
      <c r="A40" s="94"/>
      <c r="B40" s="95" t="s">
        <v>38</v>
      </c>
      <c r="C40" s="131" t="s">
        <v>48</v>
      </c>
      <c r="D40" s="96" t="s">
        <v>35</v>
      </c>
      <c r="E40" s="97">
        <v>1.03</v>
      </c>
      <c r="F40" s="91">
        <f>'-3.230'!F32</f>
        <v>0.02</v>
      </c>
      <c r="G40" s="92">
        <f t="shared" si="11"/>
        <v>393.22</v>
      </c>
      <c r="H40" s="91">
        <f t="shared" si="0"/>
        <v>7.86</v>
      </c>
      <c r="I40" s="92">
        <f>I32</f>
        <v>0</v>
      </c>
      <c r="J40" s="91">
        <f t="shared" si="1"/>
        <v>0</v>
      </c>
      <c r="K40" s="92"/>
      <c r="L40" s="91">
        <f t="shared" si="2"/>
        <v>0</v>
      </c>
      <c r="M40" s="93">
        <f t="shared" si="3"/>
        <v>7.86</v>
      </c>
    </row>
    <row r="41" spans="1:14" x14ac:dyDescent="0.5">
      <c r="A41" s="94"/>
      <c r="B41" s="95" t="s">
        <v>39</v>
      </c>
      <c r="C41" s="131" t="s">
        <v>46</v>
      </c>
      <c r="D41" s="96" t="s">
        <v>35</v>
      </c>
      <c r="E41" s="97">
        <v>1.03</v>
      </c>
      <c r="F41" s="91">
        <f>'-3.230'!F33</f>
        <v>0.54</v>
      </c>
      <c r="G41" s="92">
        <f t="shared" si="11"/>
        <v>393.22</v>
      </c>
      <c r="H41" s="91">
        <f t="shared" si="0"/>
        <v>212.34</v>
      </c>
      <c r="I41" s="92">
        <f>I33</f>
        <v>0</v>
      </c>
      <c r="J41" s="91">
        <f t="shared" si="1"/>
        <v>0</v>
      </c>
      <c r="K41" s="92"/>
      <c r="L41" s="91">
        <f t="shared" si="2"/>
        <v>0</v>
      </c>
      <c r="M41" s="93">
        <f t="shared" si="3"/>
        <v>212.34</v>
      </c>
    </row>
    <row r="42" spans="1:14" ht="15" thickBot="1" x14ac:dyDescent="0.55000000000000004">
      <c r="A42" s="132"/>
      <c r="B42" s="95" t="s">
        <v>28</v>
      </c>
      <c r="C42" s="131" t="s">
        <v>47</v>
      </c>
      <c r="D42" s="96"/>
      <c r="E42" s="92">
        <v>0.39</v>
      </c>
      <c r="F42" s="91">
        <f>'-3.230'!F34</f>
        <v>2.39</v>
      </c>
      <c r="G42" s="92">
        <f t="shared" si="11"/>
        <v>26.35</v>
      </c>
      <c r="H42" s="91">
        <f t="shared" si="0"/>
        <v>62.98</v>
      </c>
      <c r="I42" s="92"/>
      <c r="J42" s="91">
        <f t="shared" si="1"/>
        <v>0</v>
      </c>
      <c r="K42" s="92"/>
      <c r="L42" s="91">
        <f t="shared" si="2"/>
        <v>0</v>
      </c>
      <c r="M42" s="93">
        <f t="shared" si="3"/>
        <v>62.98</v>
      </c>
    </row>
    <row r="43" spans="1:14" ht="15" thickBot="1" x14ac:dyDescent="0.55000000000000004">
      <c r="B43" s="77"/>
      <c r="C43" s="77"/>
      <c r="D43" s="98"/>
      <c r="E43" s="77"/>
      <c r="F43" s="133"/>
      <c r="G43" s="75"/>
      <c r="H43" s="101">
        <f>SUM(H11:H42)</f>
        <v>43643.99</v>
      </c>
      <c r="I43" s="102"/>
      <c r="J43" s="103">
        <f>SUM(J11:J42)</f>
        <v>15483</v>
      </c>
      <c r="K43" s="102"/>
      <c r="L43" s="103">
        <f>SUM(L11:L42)</f>
        <v>0</v>
      </c>
      <c r="M43" s="134">
        <f>SUM(M11:M42)</f>
        <v>59126.99</v>
      </c>
    </row>
    <row r="44" spans="1:14" s="2" customFormat="1" ht="15" customHeight="1" x14ac:dyDescent="0.5">
      <c r="A44" s="74"/>
      <c r="B44" s="74"/>
      <c r="C44" s="74"/>
      <c r="D44" s="74"/>
      <c r="E44" s="74"/>
      <c r="F44" s="105"/>
      <c r="G44" s="106"/>
      <c r="H44" s="208" t="s">
        <v>26</v>
      </c>
      <c r="I44" s="209"/>
      <c r="J44" s="107"/>
      <c r="K44" s="116">
        <v>0.11</v>
      </c>
      <c r="L44" s="107"/>
      <c r="M44" s="108">
        <f>M43*K44</f>
        <v>6503.97</v>
      </c>
      <c r="N44" s="5"/>
    </row>
    <row r="45" spans="1:14" s="2" customFormat="1" ht="15" customHeight="1" thickBot="1" x14ac:dyDescent="0.55000000000000004">
      <c r="A45" s="74"/>
      <c r="B45" s="74"/>
      <c r="C45" s="74"/>
      <c r="D45" s="109"/>
      <c r="E45" s="110"/>
      <c r="F45" s="105"/>
      <c r="G45" s="105"/>
      <c r="H45" s="210" t="s">
        <v>27</v>
      </c>
      <c r="I45" s="211"/>
      <c r="J45" s="111"/>
      <c r="K45" s="112" t="str">
        <f>K47</f>
        <v>USD</v>
      </c>
      <c r="L45" s="111"/>
      <c r="M45" s="113">
        <f>M43+M44</f>
        <v>65630.960000000006</v>
      </c>
      <c r="N45" s="5"/>
    </row>
    <row r="46" spans="1:14" s="2" customFormat="1" x14ac:dyDescent="0.5">
      <c r="A46" s="74"/>
      <c r="B46" s="74"/>
      <c r="C46" s="74"/>
      <c r="D46" s="109"/>
      <c r="E46" s="110"/>
      <c r="F46" s="105"/>
      <c r="G46" s="106"/>
      <c r="H46" s="208" t="s">
        <v>67</v>
      </c>
      <c r="I46" s="209"/>
      <c r="J46" s="107"/>
      <c r="K46" s="116">
        <v>0.09</v>
      </c>
      <c r="L46" s="107"/>
      <c r="M46" s="108">
        <f>M45*K46</f>
        <v>5906.79</v>
      </c>
      <c r="N46" s="5"/>
    </row>
    <row r="47" spans="1:14" s="2" customFormat="1" ht="15" thickBot="1" x14ac:dyDescent="0.55000000000000004">
      <c r="A47" s="74"/>
      <c r="B47" s="74"/>
      <c r="C47" s="74"/>
      <c r="D47" s="109"/>
      <c r="E47" s="110"/>
      <c r="F47" s="114"/>
      <c r="G47" s="106"/>
      <c r="H47" s="210" t="s">
        <v>27</v>
      </c>
      <c r="I47" s="211"/>
      <c r="J47" s="111"/>
      <c r="K47" s="115" t="s">
        <v>19</v>
      </c>
      <c r="L47" s="111"/>
      <c r="M47" s="113">
        <f>M45+M46</f>
        <v>71537.75</v>
      </c>
      <c r="N47" s="5"/>
    </row>
    <row r="48" spans="1:14" s="2" customFormat="1" x14ac:dyDescent="0.5">
      <c r="A48" s="74"/>
      <c r="B48" s="74"/>
      <c r="C48" s="74"/>
      <c r="D48" s="74"/>
      <c r="E48" s="74"/>
      <c r="F48" s="74"/>
      <c r="G48" s="106"/>
      <c r="H48" s="204" t="s">
        <v>33</v>
      </c>
      <c r="I48" s="205"/>
      <c r="J48" s="107"/>
      <c r="K48" s="116">
        <v>0.18</v>
      </c>
      <c r="L48" s="107"/>
      <c r="M48" s="108">
        <f>M47*K48</f>
        <v>12876.8</v>
      </c>
      <c r="N48" s="5"/>
    </row>
    <row r="49" spans="1:14" s="2" customFormat="1" ht="15" thickBot="1" x14ac:dyDescent="0.55000000000000004">
      <c r="A49" s="74"/>
      <c r="B49" s="74"/>
      <c r="C49" s="74"/>
      <c r="D49" s="74"/>
      <c r="E49" s="74"/>
      <c r="F49" s="74"/>
      <c r="G49" s="106"/>
      <c r="H49" s="206" t="s">
        <v>25</v>
      </c>
      <c r="I49" s="207"/>
      <c r="J49" s="111"/>
      <c r="K49" s="117" t="s">
        <v>19</v>
      </c>
      <c r="L49" s="111"/>
      <c r="M49" s="113">
        <f>M47+M48</f>
        <v>84414.55</v>
      </c>
      <c r="N49" s="5"/>
    </row>
  </sheetData>
  <mergeCells count="21">
    <mergeCell ref="A7:G7"/>
    <mergeCell ref="K2:M2"/>
    <mergeCell ref="D3:I3"/>
    <mergeCell ref="D4:I4"/>
    <mergeCell ref="I8:J8"/>
    <mergeCell ref="K8:L8"/>
    <mergeCell ref="M8:M9"/>
    <mergeCell ref="D5:I5"/>
    <mergeCell ref="C8:C9"/>
    <mergeCell ref="H49:I49"/>
    <mergeCell ref="A8:A9"/>
    <mergeCell ref="B8:B9"/>
    <mergeCell ref="D8:D9"/>
    <mergeCell ref="E8:F8"/>
    <mergeCell ref="G8:H8"/>
    <mergeCell ref="B10:C10"/>
    <mergeCell ref="H44:I44"/>
    <mergeCell ref="H45:I45"/>
    <mergeCell ref="H46:I46"/>
    <mergeCell ref="H47:I47"/>
    <mergeCell ref="H48:I48"/>
  </mergeCells>
  <pageMargins left="0.39370078740157483" right="0.39370078740157483" top="0.51181102362204722" bottom="0.23622047244094491" header="0.31496062992125984" footer="0.31496062992125984"/>
  <pageSetup paperSize="9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M4" sqref="M4"/>
    </sheetView>
  </sheetViews>
  <sheetFormatPr defaultColWidth="8.87890625" defaultRowHeight="14.7" x14ac:dyDescent="0.5"/>
  <cols>
    <col min="1" max="1" width="3.41015625" style="79" bestFit="1" customWidth="1"/>
    <col min="2" max="2" width="35.703125" style="81" customWidth="1"/>
    <col min="3" max="3" width="38.1171875" style="81" customWidth="1"/>
    <col min="4" max="4" width="7.703125" style="79" customWidth="1"/>
    <col min="5" max="5" width="11.5859375" style="79" customWidth="1"/>
    <col min="6" max="6" width="9.87890625" style="79" bestFit="1" customWidth="1"/>
    <col min="7" max="7" width="8.703125" style="79" customWidth="1"/>
    <col min="8" max="8" width="13.1171875" style="79" bestFit="1" customWidth="1"/>
    <col min="9" max="9" width="8.703125" style="79" customWidth="1"/>
    <col min="10" max="10" width="11.87890625" style="79" bestFit="1" customWidth="1"/>
    <col min="11" max="11" width="12.1171875" style="79" customWidth="1"/>
    <col min="12" max="12" width="16.41015625" style="79" customWidth="1"/>
    <col min="13" max="13" width="15" style="159" customWidth="1"/>
    <col min="14" max="16384" width="8.87890625" style="4"/>
  </cols>
  <sheetData>
    <row r="1" spans="1:16" ht="21" x14ac:dyDescent="0.55000000000000004">
      <c r="A1" s="77"/>
      <c r="B1" s="43" t="s">
        <v>138</v>
      </c>
      <c r="C1" s="135" t="s">
        <v>16</v>
      </c>
      <c r="D1" s="98"/>
      <c r="E1" s="77"/>
      <c r="F1" s="77"/>
      <c r="G1" s="75"/>
      <c r="H1" s="77"/>
      <c r="I1" s="75"/>
      <c r="J1" s="77"/>
      <c r="K1" s="77"/>
      <c r="L1" s="77"/>
      <c r="M1" s="122"/>
    </row>
    <row r="2" spans="1:16" ht="12" customHeight="1" x14ac:dyDescent="0.5">
      <c r="A2" s="98"/>
      <c r="B2" s="77"/>
      <c r="C2" s="77"/>
      <c r="D2" s="98"/>
      <c r="E2" s="77"/>
      <c r="F2" s="77"/>
      <c r="G2" s="75"/>
      <c r="H2" s="77"/>
      <c r="I2" s="75"/>
      <c r="J2" s="77"/>
      <c r="K2" s="212" t="s">
        <v>18</v>
      </c>
      <c r="L2" s="213"/>
      <c r="M2" s="214"/>
    </row>
    <row r="3" spans="1:16" ht="15" customHeight="1" x14ac:dyDescent="0.5">
      <c r="A3" s="98"/>
      <c r="B3" s="77"/>
      <c r="C3" s="77"/>
      <c r="D3" s="226"/>
      <c r="E3" s="226"/>
      <c r="F3" s="226"/>
      <c r="G3" s="226"/>
      <c r="H3" s="226"/>
      <c r="I3" s="226"/>
      <c r="J3" s="77"/>
      <c r="K3" s="123" t="s">
        <v>19</v>
      </c>
      <c r="L3" s="123" t="s">
        <v>41</v>
      </c>
      <c r="M3" s="92" t="str">
        <f ca="1">'-10.430'!M4</f>
        <v>US $  Rate</v>
      </c>
    </row>
    <row r="4" spans="1:16" ht="16.5" customHeight="1" x14ac:dyDescent="0.5">
      <c r="A4" s="77"/>
      <c r="B4" s="155" t="s">
        <v>68</v>
      </c>
      <c r="C4" s="77"/>
      <c r="D4" s="226"/>
      <c r="E4" s="226"/>
      <c r="F4" s="226"/>
      <c r="G4" s="226"/>
      <c r="H4" s="226"/>
      <c r="I4" s="226"/>
      <c r="J4" s="77"/>
      <c r="K4" s="34">
        <f>M50</f>
        <v>83266.55</v>
      </c>
      <c r="L4" s="171">
        <f>K4*M4</f>
        <v>206226.26</v>
      </c>
      <c r="M4" s="189">
        <f>'Unit Price Assumptions'!D4</f>
        <v>2.4767000000000001</v>
      </c>
    </row>
    <row r="5" spans="1:16" x14ac:dyDescent="0.5">
      <c r="A5" s="77"/>
      <c r="B5" s="77"/>
      <c r="C5" s="77"/>
      <c r="D5" s="226"/>
      <c r="E5" s="226"/>
      <c r="F5" s="226"/>
      <c r="G5" s="226"/>
      <c r="H5" s="226"/>
      <c r="I5" s="226"/>
      <c r="J5" s="77"/>
      <c r="K5" s="78"/>
      <c r="L5" s="78"/>
      <c r="M5" s="38"/>
    </row>
    <row r="6" spans="1:16" ht="15" thickBot="1" x14ac:dyDescent="0.55000000000000004">
      <c r="A6" s="77"/>
      <c r="B6" s="77"/>
      <c r="C6" s="77"/>
      <c r="D6" s="80"/>
      <c r="E6" s="80"/>
      <c r="F6" s="80"/>
      <c r="G6" s="80"/>
      <c r="H6" s="80"/>
      <c r="I6" s="80"/>
      <c r="J6" s="77"/>
      <c r="K6" s="78"/>
      <c r="L6" s="78"/>
      <c r="M6" s="38"/>
    </row>
    <row r="7" spans="1:16" ht="15" hidden="1" thickBot="1" x14ac:dyDescent="0.55000000000000004"/>
    <row r="8" spans="1:16" ht="15" hidden="1" thickBot="1" x14ac:dyDescent="0.55000000000000004"/>
    <row r="9" spans="1:16" ht="27" customHeight="1" x14ac:dyDescent="0.5">
      <c r="A9" s="216" t="s">
        <v>0</v>
      </c>
      <c r="B9" s="218" t="s">
        <v>20</v>
      </c>
      <c r="C9" s="220" t="s">
        <v>42</v>
      </c>
      <c r="D9" s="222" t="s">
        <v>31</v>
      </c>
      <c r="E9" s="202" t="s">
        <v>21</v>
      </c>
      <c r="F9" s="203"/>
      <c r="G9" s="202" t="s">
        <v>22</v>
      </c>
      <c r="H9" s="203"/>
      <c r="I9" s="202" t="s">
        <v>23</v>
      </c>
      <c r="J9" s="203"/>
      <c r="K9" s="202" t="s">
        <v>24</v>
      </c>
      <c r="L9" s="203"/>
      <c r="M9" s="227" t="s">
        <v>18</v>
      </c>
    </row>
    <row r="10" spans="1:16" ht="48.75" customHeight="1" x14ac:dyDescent="0.5">
      <c r="A10" s="217"/>
      <c r="B10" s="219"/>
      <c r="C10" s="221"/>
      <c r="D10" s="223"/>
      <c r="E10" s="82" t="s">
        <v>115</v>
      </c>
      <c r="F10" s="83" t="s">
        <v>18</v>
      </c>
      <c r="G10" s="82" t="s">
        <v>104</v>
      </c>
      <c r="H10" s="83" t="s">
        <v>18</v>
      </c>
      <c r="I10" s="82" t="s">
        <v>104</v>
      </c>
      <c r="J10" s="83" t="s">
        <v>18</v>
      </c>
      <c r="K10" s="82" t="s">
        <v>32</v>
      </c>
      <c r="L10" s="83" t="s">
        <v>18</v>
      </c>
      <c r="M10" s="228"/>
    </row>
    <row r="11" spans="1:16" ht="10.5" customHeight="1" x14ac:dyDescent="0.5">
      <c r="A11" s="84" t="s">
        <v>1</v>
      </c>
      <c r="B11" s="200" t="s">
        <v>13</v>
      </c>
      <c r="C11" s="201"/>
      <c r="D11" s="87" t="s">
        <v>2</v>
      </c>
      <c r="E11" s="86" t="s">
        <v>3</v>
      </c>
      <c r="F11" s="87" t="s">
        <v>14</v>
      </c>
      <c r="G11" s="86" t="s">
        <v>4</v>
      </c>
      <c r="H11" s="88" t="s">
        <v>5</v>
      </c>
      <c r="I11" s="85" t="s">
        <v>6</v>
      </c>
      <c r="J11" s="87" t="s">
        <v>7</v>
      </c>
      <c r="K11" s="86" t="s">
        <v>8</v>
      </c>
      <c r="L11" s="88" t="s">
        <v>9</v>
      </c>
      <c r="M11" s="85" t="s">
        <v>10</v>
      </c>
      <c r="N11" s="8"/>
    </row>
    <row r="12" spans="1:16" s="1" customFormat="1" ht="29.35" x14ac:dyDescent="0.5">
      <c r="A12" s="90">
        <v>1</v>
      </c>
      <c r="B12" s="169" t="s">
        <v>60</v>
      </c>
      <c r="C12" s="169" t="s">
        <v>61</v>
      </c>
      <c r="D12" s="91" t="s">
        <v>11</v>
      </c>
      <c r="E12" s="91"/>
      <c r="F12" s="170">
        <v>246.44</v>
      </c>
      <c r="G12" s="92"/>
      <c r="H12" s="91">
        <f t="shared" ref="H12:H43" si="0">F12*G12</f>
        <v>0</v>
      </c>
      <c r="I12" s="92">
        <f>'Unit Price Assumptions'!D19</f>
        <v>52.99</v>
      </c>
      <c r="J12" s="91">
        <f>F12*I12</f>
        <v>13058.86</v>
      </c>
      <c r="K12" s="92">
        <v>0</v>
      </c>
      <c r="L12" s="91">
        <f>F12*K12</f>
        <v>0</v>
      </c>
      <c r="M12" s="93">
        <f>H12+J12+L12</f>
        <v>13058.86</v>
      </c>
      <c r="O12" s="9"/>
      <c r="P12" s="10"/>
    </row>
    <row r="13" spans="1:16" x14ac:dyDescent="0.5">
      <c r="A13" s="94"/>
      <c r="B13" s="95" t="s">
        <v>57</v>
      </c>
      <c r="C13" s="95" t="s">
        <v>62</v>
      </c>
      <c r="D13" s="96" t="s">
        <v>11</v>
      </c>
      <c r="E13" s="97">
        <v>1.0149999999999999</v>
      </c>
      <c r="F13" s="91">
        <f>$F$12*E13</f>
        <v>250.14</v>
      </c>
      <c r="G13" s="92">
        <f>'Unit Price Assumptions'!C8</f>
        <v>49.61</v>
      </c>
      <c r="H13" s="91">
        <f t="shared" si="0"/>
        <v>12409.45</v>
      </c>
      <c r="I13" s="92"/>
      <c r="J13" s="91">
        <f t="shared" ref="J13:J43" si="1">F13*I13</f>
        <v>0</v>
      </c>
      <c r="K13" s="92"/>
      <c r="L13" s="91">
        <f t="shared" ref="L13:L43" si="2">F13*K13</f>
        <v>0</v>
      </c>
      <c r="M13" s="93">
        <f t="shared" ref="M13:M43" si="3">H13+J13+L13</f>
        <v>12409.45</v>
      </c>
      <c r="O13" s="9"/>
      <c r="P13" s="6"/>
    </row>
    <row r="14" spans="1:16" x14ac:dyDescent="0.5">
      <c r="A14" s="94"/>
      <c r="B14" s="95" t="s">
        <v>29</v>
      </c>
      <c r="C14" s="95" t="s">
        <v>44</v>
      </c>
      <c r="D14" s="96" t="s">
        <v>15</v>
      </c>
      <c r="E14" s="97">
        <v>1.05</v>
      </c>
      <c r="F14" s="91">
        <f>$F$12*E14</f>
        <v>258.76</v>
      </c>
      <c r="G14" s="92">
        <f>'Unit Price Assumptions'!C12</f>
        <v>8.5500000000000007</v>
      </c>
      <c r="H14" s="91">
        <f t="shared" si="0"/>
        <v>2212.4</v>
      </c>
      <c r="I14" s="92"/>
      <c r="J14" s="91">
        <f t="shared" si="1"/>
        <v>0</v>
      </c>
      <c r="K14" s="92"/>
      <c r="L14" s="91">
        <f t="shared" si="2"/>
        <v>0</v>
      </c>
      <c r="M14" s="93">
        <f t="shared" si="3"/>
        <v>2212.4</v>
      </c>
      <c r="O14" s="9"/>
      <c r="P14" s="6"/>
    </row>
    <row r="15" spans="1:16" x14ac:dyDescent="0.5">
      <c r="A15" s="94"/>
      <c r="B15" s="95" t="s">
        <v>37</v>
      </c>
      <c r="C15" s="95" t="s">
        <v>43</v>
      </c>
      <c r="D15" s="96" t="s">
        <v>11</v>
      </c>
      <c r="E15" s="97">
        <v>4.4999999999999998E-2</v>
      </c>
      <c r="F15" s="91">
        <f>$F$12*E15</f>
        <v>11.09</v>
      </c>
      <c r="G15" s="92">
        <f>'Unit Price Assumptions'!C13</f>
        <v>383.23</v>
      </c>
      <c r="H15" s="91">
        <f t="shared" si="0"/>
        <v>4250.0200000000004</v>
      </c>
      <c r="I15" s="92"/>
      <c r="J15" s="91">
        <f t="shared" si="1"/>
        <v>0</v>
      </c>
      <c r="K15" s="92"/>
      <c r="L15" s="91">
        <f t="shared" si="2"/>
        <v>0</v>
      </c>
      <c r="M15" s="93">
        <f t="shared" si="3"/>
        <v>4250.0200000000004</v>
      </c>
      <c r="P15" s="6"/>
    </row>
    <row r="16" spans="1:16" x14ac:dyDescent="0.5">
      <c r="A16" s="94"/>
      <c r="B16" s="95" t="s">
        <v>30</v>
      </c>
      <c r="C16" s="95" t="s">
        <v>45</v>
      </c>
      <c r="D16" s="96" t="s">
        <v>12</v>
      </c>
      <c r="E16" s="97">
        <v>2.5</v>
      </c>
      <c r="F16" s="91">
        <f>$F$12*E16</f>
        <v>616.1</v>
      </c>
      <c r="G16" s="92">
        <f>'Unit Price Assumptions'!C15</f>
        <v>1.44</v>
      </c>
      <c r="H16" s="91">
        <f t="shared" si="0"/>
        <v>887.18</v>
      </c>
      <c r="I16" s="92"/>
      <c r="J16" s="91">
        <f t="shared" si="1"/>
        <v>0</v>
      </c>
      <c r="K16" s="92"/>
      <c r="L16" s="91">
        <f t="shared" si="2"/>
        <v>0</v>
      </c>
      <c r="M16" s="93">
        <f t="shared" si="3"/>
        <v>887.18</v>
      </c>
      <c r="P16" s="6"/>
    </row>
    <row r="17" spans="1:16" x14ac:dyDescent="0.5">
      <c r="A17" s="94"/>
      <c r="B17" s="95" t="s">
        <v>38</v>
      </c>
      <c r="C17" s="95" t="s">
        <v>48</v>
      </c>
      <c r="D17" s="96" t="s">
        <v>35</v>
      </c>
      <c r="E17" s="97">
        <v>1.03</v>
      </c>
      <c r="F17" s="91">
        <f>4.303*E17</f>
        <v>4.43</v>
      </c>
      <c r="G17" s="92">
        <f>'Unit Price Assumptions'!C10</f>
        <v>393.22</v>
      </c>
      <c r="H17" s="91">
        <f t="shared" si="0"/>
        <v>1741.96</v>
      </c>
      <c r="I17" s="92">
        <f>'Unit Price Assumptions'!D10</f>
        <v>0</v>
      </c>
      <c r="J17" s="91">
        <f t="shared" si="1"/>
        <v>0</v>
      </c>
      <c r="K17" s="92"/>
      <c r="L17" s="91">
        <f t="shared" si="2"/>
        <v>0</v>
      </c>
      <c r="M17" s="93">
        <f t="shared" si="3"/>
        <v>1741.96</v>
      </c>
      <c r="P17" s="6"/>
    </row>
    <row r="18" spans="1:16" x14ac:dyDescent="0.5">
      <c r="A18" s="94"/>
      <c r="B18" s="95" t="s">
        <v>39</v>
      </c>
      <c r="C18" s="95" t="s">
        <v>46</v>
      </c>
      <c r="D18" s="96" t="s">
        <v>35</v>
      </c>
      <c r="E18" s="97">
        <v>1.03</v>
      </c>
      <c r="F18" s="91">
        <f>E18*26.958</f>
        <v>27.77</v>
      </c>
      <c r="G18" s="92">
        <f>'Unit Price Assumptions'!C11</f>
        <v>393.22</v>
      </c>
      <c r="H18" s="91">
        <f t="shared" si="0"/>
        <v>10919.72</v>
      </c>
      <c r="I18" s="92">
        <f>'Unit Price Assumptions'!D11</f>
        <v>0</v>
      </c>
      <c r="J18" s="91">
        <f t="shared" si="1"/>
        <v>0</v>
      </c>
      <c r="K18" s="92"/>
      <c r="L18" s="91">
        <f t="shared" si="2"/>
        <v>0</v>
      </c>
      <c r="M18" s="93">
        <f t="shared" si="3"/>
        <v>10919.72</v>
      </c>
    </row>
    <row r="19" spans="1:16" x14ac:dyDescent="0.5">
      <c r="A19" s="94"/>
      <c r="B19" s="95" t="s">
        <v>28</v>
      </c>
      <c r="C19" s="95" t="s">
        <v>47</v>
      </c>
      <c r="D19" s="96"/>
      <c r="E19" s="92">
        <v>0.16</v>
      </c>
      <c r="F19" s="91">
        <f>$F$12*E19</f>
        <v>39.43</v>
      </c>
      <c r="G19" s="92">
        <f>'Unit Price Assumptions'!C16</f>
        <v>26.35</v>
      </c>
      <c r="H19" s="91">
        <f t="shared" si="0"/>
        <v>1038.98</v>
      </c>
      <c r="I19" s="92"/>
      <c r="J19" s="91">
        <f t="shared" si="1"/>
        <v>0</v>
      </c>
      <c r="K19" s="92"/>
      <c r="L19" s="91">
        <f t="shared" si="2"/>
        <v>0</v>
      </c>
      <c r="M19" s="93">
        <f t="shared" si="3"/>
        <v>1038.98</v>
      </c>
    </row>
    <row r="20" spans="1:16" s="1" customFormat="1" ht="29.35" x14ac:dyDescent="0.5">
      <c r="A20" s="90">
        <v>2</v>
      </c>
      <c r="B20" s="169" t="s">
        <v>63</v>
      </c>
      <c r="C20" s="169" t="s">
        <v>64</v>
      </c>
      <c r="D20" s="91" t="s">
        <v>11</v>
      </c>
      <c r="E20" s="91"/>
      <c r="F20" s="170">
        <v>24.53</v>
      </c>
      <c r="G20" s="92"/>
      <c r="H20" s="91">
        <f t="shared" si="0"/>
        <v>0</v>
      </c>
      <c r="I20" s="92">
        <f>'Unit Price Assumptions'!D17</f>
        <v>47.95</v>
      </c>
      <c r="J20" s="91">
        <f t="shared" si="1"/>
        <v>1176.21</v>
      </c>
      <c r="K20" s="92">
        <f>K12</f>
        <v>0</v>
      </c>
      <c r="L20" s="91">
        <f t="shared" si="2"/>
        <v>0</v>
      </c>
      <c r="M20" s="93">
        <f t="shared" si="3"/>
        <v>1176.21</v>
      </c>
    </row>
    <row r="21" spans="1:16" x14ac:dyDescent="0.5">
      <c r="A21" s="94"/>
      <c r="B21" s="95" t="s">
        <v>57</v>
      </c>
      <c r="C21" s="131" t="s">
        <v>62</v>
      </c>
      <c r="D21" s="96" t="s">
        <v>11</v>
      </c>
      <c r="E21" s="97">
        <v>1.0149999999999999</v>
      </c>
      <c r="F21" s="91">
        <f>$F$20*E21</f>
        <v>24.9</v>
      </c>
      <c r="G21" s="92">
        <f>G13</f>
        <v>49.61</v>
      </c>
      <c r="H21" s="91">
        <f t="shared" si="0"/>
        <v>1235.29</v>
      </c>
      <c r="I21" s="92"/>
      <c r="J21" s="91">
        <f t="shared" si="1"/>
        <v>0</v>
      </c>
      <c r="K21" s="92"/>
      <c r="L21" s="91">
        <f t="shared" si="2"/>
        <v>0</v>
      </c>
      <c r="M21" s="93">
        <f t="shared" si="3"/>
        <v>1235.29</v>
      </c>
    </row>
    <row r="22" spans="1:16" x14ac:dyDescent="0.5">
      <c r="A22" s="94"/>
      <c r="B22" s="95" t="s">
        <v>29</v>
      </c>
      <c r="C22" s="131" t="s">
        <v>44</v>
      </c>
      <c r="D22" s="96" t="s">
        <v>15</v>
      </c>
      <c r="E22" s="97">
        <v>2.64</v>
      </c>
      <c r="F22" s="91">
        <f t="shared" ref="F22:F27" si="4">$F$20*E22</f>
        <v>64.760000000000005</v>
      </c>
      <c r="G22" s="92">
        <f t="shared" ref="G22:G27" si="5">G14</f>
        <v>8.5500000000000007</v>
      </c>
      <c r="H22" s="91">
        <f t="shared" si="0"/>
        <v>553.70000000000005</v>
      </c>
      <c r="I22" s="92"/>
      <c r="J22" s="91">
        <f t="shared" si="1"/>
        <v>0</v>
      </c>
      <c r="K22" s="92"/>
      <c r="L22" s="91">
        <f t="shared" si="2"/>
        <v>0</v>
      </c>
      <c r="M22" s="93">
        <f t="shared" si="3"/>
        <v>553.70000000000005</v>
      </c>
    </row>
    <row r="23" spans="1:16" x14ac:dyDescent="0.5">
      <c r="A23" s="94"/>
      <c r="B23" s="95" t="s">
        <v>37</v>
      </c>
      <c r="C23" s="95" t="s">
        <v>43</v>
      </c>
      <c r="D23" s="96" t="s">
        <v>11</v>
      </c>
      <c r="E23" s="97">
        <v>0.2</v>
      </c>
      <c r="F23" s="91">
        <f t="shared" si="4"/>
        <v>4.91</v>
      </c>
      <c r="G23" s="92">
        <f t="shared" si="5"/>
        <v>383.23</v>
      </c>
      <c r="H23" s="91">
        <f t="shared" si="0"/>
        <v>1881.66</v>
      </c>
      <c r="I23" s="92"/>
      <c r="J23" s="91">
        <f t="shared" si="1"/>
        <v>0</v>
      </c>
      <c r="K23" s="92"/>
      <c r="L23" s="91">
        <f t="shared" si="2"/>
        <v>0</v>
      </c>
      <c r="M23" s="93">
        <f t="shared" si="3"/>
        <v>1881.66</v>
      </c>
    </row>
    <row r="24" spans="1:16" x14ac:dyDescent="0.5">
      <c r="A24" s="94"/>
      <c r="B24" s="95" t="s">
        <v>30</v>
      </c>
      <c r="C24" s="131" t="s">
        <v>45</v>
      </c>
      <c r="D24" s="96" t="s">
        <v>12</v>
      </c>
      <c r="E24" s="97">
        <v>2.5</v>
      </c>
      <c r="F24" s="91">
        <f>$F$20*E24</f>
        <v>61.33</v>
      </c>
      <c r="G24" s="92">
        <f t="shared" si="5"/>
        <v>1.44</v>
      </c>
      <c r="H24" s="91">
        <f t="shared" si="0"/>
        <v>88.32</v>
      </c>
      <c r="I24" s="92"/>
      <c r="J24" s="91">
        <f t="shared" si="1"/>
        <v>0</v>
      </c>
      <c r="K24" s="92"/>
      <c r="L24" s="91">
        <f t="shared" si="2"/>
        <v>0</v>
      </c>
      <c r="M24" s="93">
        <f t="shared" si="3"/>
        <v>88.32</v>
      </c>
    </row>
    <row r="25" spans="1:16" x14ac:dyDescent="0.5">
      <c r="A25" s="94"/>
      <c r="B25" s="95" t="s">
        <v>38</v>
      </c>
      <c r="C25" s="131" t="s">
        <v>48</v>
      </c>
      <c r="D25" s="96" t="s">
        <v>35</v>
      </c>
      <c r="E25" s="97">
        <v>1.03</v>
      </c>
      <c r="F25" s="91">
        <f>E25*1.013</f>
        <v>1.04</v>
      </c>
      <c r="G25" s="92">
        <f t="shared" si="5"/>
        <v>393.22</v>
      </c>
      <c r="H25" s="91">
        <f t="shared" si="0"/>
        <v>408.95</v>
      </c>
      <c r="I25" s="92">
        <f>I17</f>
        <v>0</v>
      </c>
      <c r="J25" s="91">
        <f t="shared" si="1"/>
        <v>0</v>
      </c>
      <c r="K25" s="92"/>
      <c r="L25" s="91">
        <f t="shared" si="2"/>
        <v>0</v>
      </c>
      <c r="M25" s="93">
        <f t="shared" si="3"/>
        <v>408.95</v>
      </c>
    </row>
    <row r="26" spans="1:16" x14ac:dyDescent="0.5">
      <c r="A26" s="94"/>
      <c r="B26" s="95" t="s">
        <v>39</v>
      </c>
      <c r="C26" s="131" t="s">
        <v>46</v>
      </c>
      <c r="D26" s="96" t="s">
        <v>35</v>
      </c>
      <c r="E26" s="97">
        <v>1.03</v>
      </c>
      <c r="F26" s="91">
        <f>E26*4.209</f>
        <v>4.34</v>
      </c>
      <c r="G26" s="92">
        <f t="shared" si="5"/>
        <v>393.22</v>
      </c>
      <c r="H26" s="91">
        <f t="shared" si="0"/>
        <v>1706.57</v>
      </c>
      <c r="I26" s="92">
        <f>I18</f>
        <v>0</v>
      </c>
      <c r="J26" s="91">
        <f t="shared" si="1"/>
        <v>0</v>
      </c>
      <c r="K26" s="92"/>
      <c r="L26" s="91">
        <f t="shared" si="2"/>
        <v>0</v>
      </c>
      <c r="M26" s="93">
        <f t="shared" si="3"/>
        <v>1706.57</v>
      </c>
    </row>
    <row r="27" spans="1:16" x14ac:dyDescent="0.5">
      <c r="A27" s="132"/>
      <c r="B27" s="95" t="s">
        <v>28</v>
      </c>
      <c r="C27" s="131" t="s">
        <v>47</v>
      </c>
      <c r="D27" s="96"/>
      <c r="E27" s="92">
        <v>0.13</v>
      </c>
      <c r="F27" s="91">
        <f t="shared" si="4"/>
        <v>3.19</v>
      </c>
      <c r="G27" s="92">
        <f t="shared" si="5"/>
        <v>26.35</v>
      </c>
      <c r="H27" s="91">
        <f t="shared" si="0"/>
        <v>84.06</v>
      </c>
      <c r="I27" s="92"/>
      <c r="J27" s="91">
        <f t="shared" si="1"/>
        <v>0</v>
      </c>
      <c r="K27" s="92"/>
      <c r="L27" s="91">
        <f t="shared" si="2"/>
        <v>0</v>
      </c>
      <c r="M27" s="93">
        <f t="shared" si="3"/>
        <v>84.06</v>
      </c>
    </row>
    <row r="28" spans="1:16" s="1" customFormat="1" ht="29.35" x14ac:dyDescent="0.5">
      <c r="A28" s="90">
        <v>3</v>
      </c>
      <c r="B28" s="169" t="s">
        <v>71</v>
      </c>
      <c r="C28" s="169" t="s">
        <v>66</v>
      </c>
      <c r="D28" s="91" t="s">
        <v>11</v>
      </c>
      <c r="E28" s="91"/>
      <c r="F28" s="170">
        <v>13.31</v>
      </c>
      <c r="G28" s="92"/>
      <c r="H28" s="91">
        <f t="shared" si="0"/>
        <v>0</v>
      </c>
      <c r="I28" s="92">
        <f>'Unit Price Assumptions'!D18</f>
        <v>52.99</v>
      </c>
      <c r="J28" s="91">
        <f t="shared" si="1"/>
        <v>705.3</v>
      </c>
      <c r="K28" s="92">
        <f>K20</f>
        <v>0</v>
      </c>
      <c r="L28" s="91">
        <f t="shared" si="2"/>
        <v>0</v>
      </c>
      <c r="M28" s="93">
        <f t="shared" si="3"/>
        <v>705.3</v>
      </c>
    </row>
    <row r="29" spans="1:16" x14ac:dyDescent="0.5">
      <c r="A29" s="94"/>
      <c r="B29" s="95" t="s">
        <v>57</v>
      </c>
      <c r="C29" s="131" t="s">
        <v>62</v>
      </c>
      <c r="D29" s="96" t="s">
        <v>11</v>
      </c>
      <c r="E29" s="97">
        <v>1.0149999999999999</v>
      </c>
      <c r="F29" s="91">
        <f>E29*F28</f>
        <v>13.51</v>
      </c>
      <c r="G29" s="92">
        <f>G21</f>
        <v>49.61</v>
      </c>
      <c r="H29" s="91">
        <f t="shared" si="0"/>
        <v>670.23</v>
      </c>
      <c r="I29" s="92"/>
      <c r="J29" s="91">
        <f t="shared" si="1"/>
        <v>0</v>
      </c>
      <c r="K29" s="92"/>
      <c r="L29" s="91">
        <f t="shared" si="2"/>
        <v>0</v>
      </c>
      <c r="M29" s="93">
        <f t="shared" si="3"/>
        <v>670.23</v>
      </c>
    </row>
    <row r="30" spans="1:16" x14ac:dyDescent="0.5">
      <c r="A30" s="94"/>
      <c r="B30" s="95" t="s">
        <v>29</v>
      </c>
      <c r="C30" s="131" t="s">
        <v>44</v>
      </c>
      <c r="D30" s="96" t="s">
        <v>15</v>
      </c>
      <c r="E30" s="97">
        <v>2.64</v>
      </c>
      <c r="F30" s="91">
        <f>E30*F28</f>
        <v>35.14</v>
      </c>
      <c r="G30" s="92">
        <f t="shared" ref="G30:G35" si="6">G22</f>
        <v>8.5500000000000007</v>
      </c>
      <c r="H30" s="91">
        <f t="shared" si="0"/>
        <v>300.45</v>
      </c>
      <c r="I30" s="92"/>
      <c r="J30" s="91">
        <f t="shared" si="1"/>
        <v>0</v>
      </c>
      <c r="K30" s="92"/>
      <c r="L30" s="91">
        <f t="shared" si="2"/>
        <v>0</v>
      </c>
      <c r="M30" s="93">
        <f t="shared" si="3"/>
        <v>300.45</v>
      </c>
    </row>
    <row r="31" spans="1:16" x14ac:dyDescent="0.5">
      <c r="A31" s="94"/>
      <c r="B31" s="95" t="s">
        <v>37</v>
      </c>
      <c r="C31" s="95" t="s">
        <v>43</v>
      </c>
      <c r="D31" s="96" t="s">
        <v>11</v>
      </c>
      <c r="E31" s="162">
        <v>0.2</v>
      </c>
      <c r="F31" s="91">
        <f>E31*F28</f>
        <v>2.66</v>
      </c>
      <c r="G31" s="92">
        <f t="shared" si="6"/>
        <v>383.23</v>
      </c>
      <c r="H31" s="91">
        <f t="shared" si="0"/>
        <v>1019.39</v>
      </c>
      <c r="I31" s="92"/>
      <c r="J31" s="91">
        <f t="shared" si="1"/>
        <v>0</v>
      </c>
      <c r="K31" s="92"/>
      <c r="L31" s="91">
        <f t="shared" si="2"/>
        <v>0</v>
      </c>
      <c r="M31" s="93">
        <f t="shared" si="3"/>
        <v>1019.39</v>
      </c>
    </row>
    <row r="32" spans="1:16" x14ac:dyDescent="0.5">
      <c r="A32" s="94"/>
      <c r="B32" s="95" t="s">
        <v>30</v>
      </c>
      <c r="C32" s="131" t="s">
        <v>45</v>
      </c>
      <c r="D32" s="96" t="s">
        <v>12</v>
      </c>
      <c r="E32" s="97">
        <v>2.5</v>
      </c>
      <c r="F32" s="91">
        <f>E32*F28</f>
        <v>33.28</v>
      </c>
      <c r="G32" s="92">
        <f t="shared" si="6"/>
        <v>1.44</v>
      </c>
      <c r="H32" s="91">
        <f t="shared" si="0"/>
        <v>47.92</v>
      </c>
      <c r="I32" s="92"/>
      <c r="J32" s="91">
        <f t="shared" si="1"/>
        <v>0</v>
      </c>
      <c r="K32" s="92"/>
      <c r="L32" s="91">
        <f t="shared" si="2"/>
        <v>0</v>
      </c>
      <c r="M32" s="93">
        <f t="shared" si="3"/>
        <v>47.92</v>
      </c>
    </row>
    <row r="33" spans="1:14" x14ac:dyDescent="0.5">
      <c r="A33" s="94"/>
      <c r="B33" s="95" t="s">
        <v>38</v>
      </c>
      <c r="C33" s="131" t="s">
        <v>48</v>
      </c>
      <c r="D33" s="96" t="s">
        <v>35</v>
      </c>
      <c r="E33" s="97">
        <v>1.03</v>
      </c>
      <c r="F33" s="91">
        <f>E33*0.085</f>
        <v>0.09</v>
      </c>
      <c r="G33" s="92">
        <f t="shared" si="6"/>
        <v>393.22</v>
      </c>
      <c r="H33" s="91">
        <f t="shared" si="0"/>
        <v>35.39</v>
      </c>
      <c r="I33" s="92">
        <f>I25</f>
        <v>0</v>
      </c>
      <c r="J33" s="91">
        <f t="shared" si="1"/>
        <v>0</v>
      </c>
      <c r="K33" s="92"/>
      <c r="L33" s="91">
        <f t="shared" si="2"/>
        <v>0</v>
      </c>
      <c r="M33" s="93">
        <f t="shared" si="3"/>
        <v>35.39</v>
      </c>
    </row>
    <row r="34" spans="1:14" x14ac:dyDescent="0.5">
      <c r="A34" s="94"/>
      <c r="B34" s="95" t="s">
        <v>39</v>
      </c>
      <c r="C34" s="131" t="s">
        <v>46</v>
      </c>
      <c r="D34" s="96" t="s">
        <v>35</v>
      </c>
      <c r="E34" s="97">
        <v>1.03</v>
      </c>
      <c r="F34" s="91">
        <f>E34*1.94</f>
        <v>2</v>
      </c>
      <c r="G34" s="92">
        <f t="shared" si="6"/>
        <v>393.22</v>
      </c>
      <c r="H34" s="91">
        <f t="shared" si="0"/>
        <v>786.44</v>
      </c>
      <c r="I34" s="92">
        <f>I26</f>
        <v>0</v>
      </c>
      <c r="J34" s="91">
        <f t="shared" si="1"/>
        <v>0</v>
      </c>
      <c r="K34" s="92"/>
      <c r="L34" s="91">
        <f t="shared" si="2"/>
        <v>0</v>
      </c>
      <c r="M34" s="93">
        <f t="shared" si="3"/>
        <v>786.44</v>
      </c>
    </row>
    <row r="35" spans="1:14" x14ac:dyDescent="0.5">
      <c r="A35" s="132"/>
      <c r="B35" s="95" t="s">
        <v>28</v>
      </c>
      <c r="C35" s="131" t="s">
        <v>47</v>
      </c>
      <c r="D35" s="96"/>
      <c r="E35" s="92">
        <v>0.13</v>
      </c>
      <c r="F35" s="91">
        <f>E35*F28</f>
        <v>1.73</v>
      </c>
      <c r="G35" s="92">
        <f t="shared" si="6"/>
        <v>26.35</v>
      </c>
      <c r="H35" s="91">
        <f t="shared" si="0"/>
        <v>45.59</v>
      </c>
      <c r="I35" s="92"/>
      <c r="J35" s="91">
        <f t="shared" si="1"/>
        <v>0</v>
      </c>
      <c r="K35" s="92"/>
      <c r="L35" s="91">
        <f t="shared" si="2"/>
        <v>0</v>
      </c>
      <c r="M35" s="93">
        <f t="shared" si="3"/>
        <v>45.59</v>
      </c>
    </row>
    <row r="36" spans="1:14" s="1" customFormat="1" ht="29.35" x14ac:dyDescent="0.5">
      <c r="A36" s="90">
        <v>4</v>
      </c>
      <c r="B36" s="169" t="s">
        <v>36</v>
      </c>
      <c r="C36" s="169" t="s">
        <v>65</v>
      </c>
      <c r="D36" s="91" t="s">
        <v>11</v>
      </c>
      <c r="E36" s="91"/>
      <c r="F36" s="170">
        <f>'+0.370'!F35</f>
        <v>6.14</v>
      </c>
      <c r="G36" s="92"/>
      <c r="H36" s="91">
        <f t="shared" si="0"/>
        <v>0</v>
      </c>
      <c r="I36" s="92">
        <f>'Unit Price Assumptions'!D20</f>
        <v>63.09</v>
      </c>
      <c r="J36" s="91">
        <f t="shared" si="1"/>
        <v>387.37</v>
      </c>
      <c r="K36" s="92">
        <f>K28</f>
        <v>0</v>
      </c>
      <c r="L36" s="91">
        <f t="shared" si="2"/>
        <v>0</v>
      </c>
      <c r="M36" s="93">
        <f t="shared" si="3"/>
        <v>387.37</v>
      </c>
    </row>
    <row r="37" spans="1:14" x14ac:dyDescent="0.5">
      <c r="A37" s="94"/>
      <c r="B37" s="95" t="s">
        <v>57</v>
      </c>
      <c r="C37" s="131" t="s">
        <v>62</v>
      </c>
      <c r="D37" s="96" t="s">
        <v>11</v>
      </c>
      <c r="E37" s="97">
        <v>1.0149999999999999</v>
      </c>
      <c r="F37" s="91">
        <f>'+0.370'!F36</f>
        <v>6.23</v>
      </c>
      <c r="G37" s="92">
        <f>G29</f>
        <v>49.61</v>
      </c>
      <c r="H37" s="91">
        <f t="shared" si="0"/>
        <v>309.07</v>
      </c>
      <c r="I37" s="92"/>
      <c r="J37" s="91">
        <f t="shared" si="1"/>
        <v>0</v>
      </c>
      <c r="K37" s="92"/>
      <c r="L37" s="91">
        <f t="shared" si="2"/>
        <v>0</v>
      </c>
      <c r="M37" s="93">
        <f t="shared" si="3"/>
        <v>309.07</v>
      </c>
    </row>
    <row r="38" spans="1:14" x14ac:dyDescent="0.5">
      <c r="A38" s="94"/>
      <c r="B38" s="95" t="s">
        <v>29</v>
      </c>
      <c r="C38" s="131" t="s">
        <v>44</v>
      </c>
      <c r="D38" s="96" t="s">
        <v>15</v>
      </c>
      <c r="E38" s="97">
        <v>0.57999999999999996</v>
      </c>
      <c r="F38" s="91">
        <f>'+0.370'!F37</f>
        <v>3.56</v>
      </c>
      <c r="G38" s="92">
        <f t="shared" ref="G38:G43" si="7">G30</f>
        <v>8.5500000000000007</v>
      </c>
      <c r="H38" s="91">
        <f t="shared" si="0"/>
        <v>30.44</v>
      </c>
      <c r="I38" s="92"/>
      <c r="J38" s="91">
        <f t="shared" si="1"/>
        <v>0</v>
      </c>
      <c r="K38" s="92"/>
      <c r="L38" s="91">
        <f t="shared" si="2"/>
        <v>0</v>
      </c>
      <c r="M38" s="93">
        <f t="shared" si="3"/>
        <v>30.44</v>
      </c>
    </row>
    <row r="39" spans="1:14" x14ac:dyDescent="0.5">
      <c r="A39" s="94"/>
      <c r="B39" s="95" t="s">
        <v>34</v>
      </c>
      <c r="C39" s="131" t="s">
        <v>49</v>
      </c>
      <c r="D39" s="96" t="s">
        <v>11</v>
      </c>
      <c r="E39" s="97">
        <v>0.02</v>
      </c>
      <c r="F39" s="91">
        <f>'+0.370'!F38</f>
        <v>0.12</v>
      </c>
      <c r="G39" s="92">
        <f>'Unit Price Assumptions'!C14</f>
        <v>222.41</v>
      </c>
      <c r="H39" s="91">
        <f t="shared" si="0"/>
        <v>26.69</v>
      </c>
      <c r="I39" s="92"/>
      <c r="J39" s="91">
        <f t="shared" si="1"/>
        <v>0</v>
      </c>
      <c r="K39" s="92"/>
      <c r="L39" s="91">
        <f t="shared" si="2"/>
        <v>0</v>
      </c>
      <c r="M39" s="93">
        <f t="shared" si="3"/>
        <v>26.69</v>
      </c>
    </row>
    <row r="40" spans="1:14" x14ac:dyDescent="0.5">
      <c r="A40" s="94"/>
      <c r="B40" s="95" t="s">
        <v>30</v>
      </c>
      <c r="C40" s="131" t="s">
        <v>45</v>
      </c>
      <c r="D40" s="96" t="s">
        <v>12</v>
      </c>
      <c r="E40" s="97">
        <v>2.5</v>
      </c>
      <c r="F40" s="91">
        <f>'+0.370'!F39</f>
        <v>15.35</v>
      </c>
      <c r="G40" s="92">
        <f t="shared" si="7"/>
        <v>1.44</v>
      </c>
      <c r="H40" s="91">
        <f t="shared" si="0"/>
        <v>22.1</v>
      </c>
      <c r="I40" s="92"/>
      <c r="J40" s="91">
        <f t="shared" si="1"/>
        <v>0</v>
      </c>
      <c r="K40" s="92"/>
      <c r="L40" s="91">
        <f t="shared" si="2"/>
        <v>0</v>
      </c>
      <c r="M40" s="93">
        <f t="shared" si="3"/>
        <v>22.1</v>
      </c>
    </row>
    <row r="41" spans="1:14" x14ac:dyDescent="0.5">
      <c r="A41" s="94"/>
      <c r="B41" s="95" t="s">
        <v>38</v>
      </c>
      <c r="C41" s="131" t="s">
        <v>48</v>
      </c>
      <c r="D41" s="96" t="s">
        <v>35</v>
      </c>
      <c r="E41" s="97">
        <v>1.03</v>
      </c>
      <c r="F41" s="91">
        <f>'+0.370'!F40</f>
        <v>0.02</v>
      </c>
      <c r="G41" s="92">
        <f t="shared" si="7"/>
        <v>393.22</v>
      </c>
      <c r="H41" s="91">
        <f t="shared" si="0"/>
        <v>7.86</v>
      </c>
      <c r="I41" s="92">
        <f>I33</f>
        <v>0</v>
      </c>
      <c r="J41" s="91">
        <f t="shared" si="1"/>
        <v>0</v>
      </c>
      <c r="K41" s="92"/>
      <c r="L41" s="91">
        <f t="shared" si="2"/>
        <v>0</v>
      </c>
      <c r="M41" s="93">
        <f t="shared" si="3"/>
        <v>7.86</v>
      </c>
    </row>
    <row r="42" spans="1:14" x14ac:dyDescent="0.5">
      <c r="A42" s="94"/>
      <c r="B42" s="95" t="s">
        <v>39</v>
      </c>
      <c r="C42" s="131" t="s">
        <v>46</v>
      </c>
      <c r="D42" s="96" t="s">
        <v>35</v>
      </c>
      <c r="E42" s="97">
        <v>1.03</v>
      </c>
      <c r="F42" s="91">
        <f>'+0.370'!F41</f>
        <v>0.54</v>
      </c>
      <c r="G42" s="92">
        <f t="shared" si="7"/>
        <v>393.22</v>
      </c>
      <c r="H42" s="91">
        <f t="shared" si="0"/>
        <v>212.34</v>
      </c>
      <c r="I42" s="92">
        <f>I33</f>
        <v>0</v>
      </c>
      <c r="J42" s="91">
        <f t="shared" si="1"/>
        <v>0</v>
      </c>
      <c r="K42" s="92"/>
      <c r="L42" s="91">
        <f t="shared" si="2"/>
        <v>0</v>
      </c>
      <c r="M42" s="93">
        <f t="shared" si="3"/>
        <v>212.34</v>
      </c>
    </row>
    <row r="43" spans="1:14" ht="15" thickBot="1" x14ac:dyDescent="0.55000000000000004">
      <c r="A43" s="132"/>
      <c r="B43" s="95" t="s">
        <v>28</v>
      </c>
      <c r="C43" s="131" t="s">
        <v>47</v>
      </c>
      <c r="D43" s="96"/>
      <c r="E43" s="92">
        <v>0.39</v>
      </c>
      <c r="F43" s="91">
        <f>'+0.370'!F42</f>
        <v>2.39</v>
      </c>
      <c r="G43" s="92">
        <f t="shared" si="7"/>
        <v>26.35</v>
      </c>
      <c r="H43" s="91">
        <f t="shared" si="0"/>
        <v>62.98</v>
      </c>
      <c r="I43" s="92"/>
      <c r="J43" s="91">
        <f t="shared" si="1"/>
        <v>0</v>
      </c>
      <c r="K43" s="92"/>
      <c r="L43" s="91">
        <f t="shared" si="2"/>
        <v>0</v>
      </c>
      <c r="M43" s="93">
        <f t="shared" si="3"/>
        <v>62.98</v>
      </c>
    </row>
    <row r="44" spans="1:14" ht="15" thickBot="1" x14ac:dyDescent="0.55000000000000004">
      <c r="B44" s="77"/>
      <c r="C44" s="77"/>
      <c r="D44" s="98"/>
      <c r="E44" s="77"/>
      <c r="F44" s="133"/>
      <c r="G44" s="75"/>
      <c r="H44" s="101">
        <f>SUM(H12:H43)</f>
        <v>42995.15</v>
      </c>
      <c r="I44" s="102"/>
      <c r="J44" s="103">
        <f>SUM(J12:J43)</f>
        <v>15327.74</v>
      </c>
      <c r="K44" s="102"/>
      <c r="L44" s="103">
        <f>SUM(L12:L43)</f>
        <v>0</v>
      </c>
      <c r="M44" s="103">
        <f>SUM(M12:M43)</f>
        <v>58322.89</v>
      </c>
      <c r="N44" s="8"/>
    </row>
    <row r="45" spans="1:14" s="2" customFormat="1" ht="15" customHeight="1" x14ac:dyDescent="0.5">
      <c r="A45" s="74"/>
      <c r="B45" s="74"/>
      <c r="C45" s="74"/>
      <c r="D45" s="74"/>
      <c r="E45" s="74"/>
      <c r="F45" s="105"/>
      <c r="G45" s="106"/>
      <c r="H45" s="208" t="s">
        <v>26</v>
      </c>
      <c r="I45" s="209"/>
      <c r="J45" s="107"/>
      <c r="K45" s="116">
        <v>0.11</v>
      </c>
      <c r="L45" s="107"/>
      <c r="M45" s="108">
        <f>M44*K45</f>
        <v>6415.52</v>
      </c>
      <c r="N45" s="5"/>
    </row>
    <row r="46" spans="1:14" s="2" customFormat="1" ht="15" customHeight="1" thickBot="1" x14ac:dyDescent="0.55000000000000004">
      <c r="A46" s="74"/>
      <c r="B46" s="74"/>
      <c r="C46" s="74"/>
      <c r="D46" s="109"/>
      <c r="E46" s="110"/>
      <c r="F46" s="105"/>
      <c r="G46" s="105"/>
      <c r="H46" s="210" t="s">
        <v>27</v>
      </c>
      <c r="I46" s="211"/>
      <c r="J46" s="111"/>
      <c r="K46" s="112" t="str">
        <f>K48</f>
        <v>USD</v>
      </c>
      <c r="L46" s="111"/>
      <c r="M46" s="113">
        <f>M44+M45</f>
        <v>64738.41</v>
      </c>
      <c r="N46" s="5"/>
    </row>
    <row r="47" spans="1:14" s="2" customFormat="1" x14ac:dyDescent="0.5">
      <c r="A47" s="74"/>
      <c r="B47" s="74"/>
      <c r="C47" s="74"/>
      <c r="D47" s="109"/>
      <c r="E47" s="110"/>
      <c r="F47" s="105"/>
      <c r="G47" s="106"/>
      <c r="H47" s="208" t="s">
        <v>67</v>
      </c>
      <c r="I47" s="209"/>
      <c r="J47" s="107"/>
      <c r="K47" s="116">
        <v>0.09</v>
      </c>
      <c r="L47" s="107"/>
      <c r="M47" s="108">
        <f>M46*K47</f>
        <v>5826.46</v>
      </c>
      <c r="N47" s="5"/>
    </row>
    <row r="48" spans="1:14" s="2" customFormat="1" ht="15" thickBot="1" x14ac:dyDescent="0.55000000000000004">
      <c r="A48" s="74"/>
      <c r="B48" s="74"/>
      <c r="C48" s="74"/>
      <c r="D48" s="109"/>
      <c r="E48" s="110"/>
      <c r="F48" s="114"/>
      <c r="G48" s="106"/>
      <c r="H48" s="210" t="s">
        <v>27</v>
      </c>
      <c r="I48" s="211"/>
      <c r="J48" s="111"/>
      <c r="K48" s="115" t="s">
        <v>19</v>
      </c>
      <c r="L48" s="111"/>
      <c r="M48" s="113">
        <f>M46+M47</f>
        <v>70564.87</v>
      </c>
      <c r="N48" s="5"/>
    </row>
    <row r="49" spans="1:14" s="2" customFormat="1" x14ac:dyDescent="0.5">
      <c r="A49" s="74"/>
      <c r="B49" s="74"/>
      <c r="C49" s="74"/>
      <c r="D49" s="74"/>
      <c r="E49" s="74"/>
      <c r="F49" s="74"/>
      <c r="G49" s="106"/>
      <c r="H49" s="204" t="s">
        <v>33</v>
      </c>
      <c r="I49" s="205"/>
      <c r="J49" s="107"/>
      <c r="K49" s="116">
        <v>0.18</v>
      </c>
      <c r="L49" s="107"/>
      <c r="M49" s="108">
        <f>M48*K49</f>
        <v>12701.68</v>
      </c>
      <c r="N49" s="5"/>
    </row>
    <row r="50" spans="1:14" s="2" customFormat="1" ht="15" thickBot="1" x14ac:dyDescent="0.55000000000000004">
      <c r="A50" s="74"/>
      <c r="B50" s="74"/>
      <c r="C50" s="74"/>
      <c r="D50" s="74"/>
      <c r="E50" s="74"/>
      <c r="F50" s="74"/>
      <c r="G50" s="106"/>
      <c r="H50" s="206" t="s">
        <v>25</v>
      </c>
      <c r="I50" s="207"/>
      <c r="J50" s="111"/>
      <c r="K50" s="117" t="s">
        <v>19</v>
      </c>
      <c r="L50" s="111"/>
      <c r="M50" s="113">
        <f>M48+M49</f>
        <v>83266.55</v>
      </c>
      <c r="N50" s="5"/>
    </row>
  </sheetData>
  <mergeCells count="20">
    <mergeCell ref="K2:M2"/>
    <mergeCell ref="D3:I3"/>
    <mergeCell ref="D4:I4"/>
    <mergeCell ref="I9:J9"/>
    <mergeCell ref="K9:L9"/>
    <mergeCell ref="M9:M10"/>
    <mergeCell ref="D5:I5"/>
    <mergeCell ref="C9:C10"/>
    <mergeCell ref="H50:I50"/>
    <mergeCell ref="A9:A10"/>
    <mergeCell ref="B9:B10"/>
    <mergeCell ref="D9:D10"/>
    <mergeCell ref="E9:F9"/>
    <mergeCell ref="G9:H9"/>
    <mergeCell ref="B11:C11"/>
    <mergeCell ref="H45:I45"/>
    <mergeCell ref="H46:I46"/>
    <mergeCell ref="H47:I47"/>
    <mergeCell ref="H48:I48"/>
    <mergeCell ref="H49:I49"/>
  </mergeCells>
  <pageMargins left="0.45" right="0.2" top="0.5" bottom="0.25" header="0.3" footer="0.3"/>
  <pageSetup paperSize="9" orientation="landscape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PageLayoutView="115" workbookViewId="0">
      <selection activeCell="M4" sqref="M4"/>
    </sheetView>
  </sheetViews>
  <sheetFormatPr defaultColWidth="8.87890625" defaultRowHeight="14.7" x14ac:dyDescent="0.5"/>
  <cols>
    <col min="1" max="1" width="3.29296875" style="79" customWidth="1"/>
    <col min="2" max="2" width="37.87890625" style="81" customWidth="1"/>
    <col min="3" max="3" width="41.5859375" style="81" customWidth="1"/>
    <col min="4" max="4" width="7" style="79" bestFit="1" customWidth="1"/>
    <col min="5" max="5" width="11.87890625" style="79" customWidth="1"/>
    <col min="6" max="6" width="9.87890625" style="79" bestFit="1" customWidth="1"/>
    <col min="7" max="7" width="8.703125" style="79" customWidth="1"/>
    <col min="8" max="8" width="13.1171875" style="79" bestFit="1" customWidth="1"/>
    <col min="9" max="9" width="10" style="79" customWidth="1"/>
    <col min="10" max="10" width="11.87890625" style="79" bestFit="1" customWidth="1"/>
    <col min="11" max="11" width="12.41015625" style="79" bestFit="1" customWidth="1"/>
    <col min="12" max="12" width="17.29296875" style="79" customWidth="1"/>
    <col min="13" max="13" width="14.5859375" style="39" bestFit="1" customWidth="1"/>
    <col min="14" max="16384" width="8.87890625" style="4"/>
  </cols>
  <sheetData>
    <row r="1" spans="1:16" ht="21" x14ac:dyDescent="0.55000000000000004">
      <c r="A1" s="77"/>
      <c r="B1" s="43" t="s">
        <v>138</v>
      </c>
      <c r="C1" s="135" t="s">
        <v>16</v>
      </c>
      <c r="D1" s="98"/>
      <c r="E1" s="77"/>
      <c r="F1" s="77"/>
      <c r="G1" s="75"/>
      <c r="H1" s="77"/>
      <c r="I1" s="75"/>
      <c r="J1" s="77"/>
      <c r="K1" s="77"/>
      <c r="L1" s="77"/>
      <c r="M1" s="122"/>
    </row>
    <row r="2" spans="1:16" ht="12" customHeight="1" x14ac:dyDescent="0.5">
      <c r="A2" s="98"/>
      <c r="B2" s="77"/>
      <c r="C2" s="77"/>
      <c r="D2" s="98"/>
      <c r="E2" s="77"/>
      <c r="F2" s="77"/>
      <c r="G2" s="75"/>
      <c r="H2" s="77"/>
      <c r="I2" s="75"/>
      <c r="J2" s="77"/>
      <c r="K2" s="212" t="s">
        <v>18</v>
      </c>
      <c r="L2" s="213"/>
      <c r="M2" s="214"/>
    </row>
    <row r="3" spans="1:16" ht="21" customHeight="1" x14ac:dyDescent="0.5">
      <c r="A3" s="98"/>
      <c r="B3" s="77"/>
      <c r="C3" s="77"/>
      <c r="D3" s="226"/>
      <c r="E3" s="226"/>
      <c r="F3" s="226"/>
      <c r="G3" s="226"/>
      <c r="H3" s="226"/>
      <c r="I3" s="226"/>
      <c r="J3" s="77"/>
      <c r="K3" s="123" t="s">
        <v>19</v>
      </c>
      <c r="L3" s="123" t="s">
        <v>41</v>
      </c>
      <c r="M3" s="92" t="str">
        <f ca="1">'+7.570'!M3</f>
        <v>US $  Rate</v>
      </c>
    </row>
    <row r="4" spans="1:16" ht="21" x14ac:dyDescent="0.5">
      <c r="A4" s="77"/>
      <c r="B4" s="155" t="s">
        <v>69</v>
      </c>
      <c r="C4" s="77"/>
      <c r="D4" s="226"/>
      <c r="E4" s="226"/>
      <c r="F4" s="226"/>
      <c r="G4" s="226"/>
      <c r="H4" s="226"/>
      <c r="I4" s="226"/>
      <c r="J4" s="77"/>
      <c r="K4" s="34">
        <f>M48</f>
        <v>83197.47</v>
      </c>
      <c r="L4" s="171">
        <f>K4*M4</f>
        <v>206055.17</v>
      </c>
      <c r="M4" s="189">
        <f>'Unit Price Assumptions'!D4</f>
        <v>2.4767000000000001</v>
      </c>
    </row>
    <row r="5" spans="1:16" x14ac:dyDescent="0.5">
      <c r="A5" s="77"/>
      <c r="B5" s="77"/>
      <c r="C5" s="77"/>
      <c r="D5" s="226"/>
      <c r="E5" s="226"/>
      <c r="F5" s="226"/>
      <c r="G5" s="226"/>
      <c r="H5" s="226"/>
      <c r="I5" s="226"/>
      <c r="J5" s="77"/>
      <c r="K5" s="78"/>
      <c r="L5" s="78"/>
      <c r="M5" s="38"/>
    </row>
    <row r="6" spans="1:16" ht="15" thickBot="1" x14ac:dyDescent="0.55000000000000004"/>
    <row r="7" spans="1:16" ht="24.75" customHeight="1" x14ac:dyDescent="0.5">
      <c r="A7" s="216" t="s">
        <v>97</v>
      </c>
      <c r="B7" s="218" t="s">
        <v>20</v>
      </c>
      <c r="C7" s="220" t="s">
        <v>42</v>
      </c>
      <c r="D7" s="222" t="s">
        <v>31</v>
      </c>
      <c r="E7" s="202" t="s">
        <v>21</v>
      </c>
      <c r="F7" s="203"/>
      <c r="G7" s="202" t="s">
        <v>22</v>
      </c>
      <c r="H7" s="203"/>
      <c r="I7" s="202" t="s">
        <v>23</v>
      </c>
      <c r="J7" s="203"/>
      <c r="K7" s="202" t="s">
        <v>24</v>
      </c>
      <c r="L7" s="203"/>
      <c r="M7" s="224" t="s">
        <v>18</v>
      </c>
    </row>
    <row r="8" spans="1:16" ht="29.35" x14ac:dyDescent="0.5">
      <c r="A8" s="217"/>
      <c r="B8" s="219"/>
      <c r="C8" s="221"/>
      <c r="D8" s="223"/>
      <c r="E8" s="82" t="s">
        <v>115</v>
      </c>
      <c r="F8" s="83" t="s">
        <v>18</v>
      </c>
      <c r="G8" s="82" t="s">
        <v>104</v>
      </c>
      <c r="H8" s="83" t="s">
        <v>18</v>
      </c>
      <c r="I8" s="82" t="s">
        <v>104</v>
      </c>
      <c r="J8" s="83" t="s">
        <v>18</v>
      </c>
      <c r="K8" s="82" t="s">
        <v>104</v>
      </c>
      <c r="L8" s="83" t="s">
        <v>18</v>
      </c>
      <c r="M8" s="225"/>
    </row>
    <row r="9" spans="1:16" x14ac:dyDescent="0.5">
      <c r="A9" s="84" t="s">
        <v>1</v>
      </c>
      <c r="B9" s="200" t="s">
        <v>13</v>
      </c>
      <c r="C9" s="201"/>
      <c r="D9" s="85" t="s">
        <v>2</v>
      </c>
      <c r="E9" s="86" t="s">
        <v>3</v>
      </c>
      <c r="F9" s="87" t="s">
        <v>14</v>
      </c>
      <c r="G9" s="86" t="s">
        <v>4</v>
      </c>
      <c r="H9" s="85" t="s">
        <v>5</v>
      </c>
      <c r="I9" s="86" t="s">
        <v>6</v>
      </c>
      <c r="J9" s="87" t="s">
        <v>7</v>
      </c>
      <c r="K9" s="86" t="s">
        <v>8</v>
      </c>
      <c r="L9" s="88" t="s">
        <v>9</v>
      </c>
      <c r="M9" s="89" t="s">
        <v>10</v>
      </c>
    </row>
    <row r="10" spans="1:16" s="1" customFormat="1" ht="29.35" x14ac:dyDescent="0.5">
      <c r="A10" s="94">
        <v>1</v>
      </c>
      <c r="B10" s="169" t="s">
        <v>60</v>
      </c>
      <c r="C10" s="169" t="s">
        <v>61</v>
      </c>
      <c r="D10" s="91" t="s">
        <v>11</v>
      </c>
      <c r="E10" s="91"/>
      <c r="F10" s="170">
        <v>254.44</v>
      </c>
      <c r="G10" s="92"/>
      <c r="H10" s="91">
        <f t="shared" ref="H10:H41" si="0">F10*G10</f>
        <v>0</v>
      </c>
      <c r="I10" s="92">
        <f>'Unit Price Assumptions'!D19</f>
        <v>52.99</v>
      </c>
      <c r="J10" s="91">
        <f>F10*I10</f>
        <v>13482.78</v>
      </c>
      <c r="K10" s="92">
        <v>0</v>
      </c>
      <c r="L10" s="91">
        <f>F10*K10</f>
        <v>0</v>
      </c>
      <c r="M10" s="93">
        <f>H10+J10+L10</f>
        <v>13482.78</v>
      </c>
      <c r="O10" s="9"/>
      <c r="P10" s="10"/>
    </row>
    <row r="11" spans="1:16" x14ac:dyDescent="0.5">
      <c r="A11" s="94"/>
      <c r="B11" s="95" t="s">
        <v>57</v>
      </c>
      <c r="C11" s="95" t="s">
        <v>62</v>
      </c>
      <c r="D11" s="96" t="s">
        <v>11</v>
      </c>
      <c r="E11" s="97">
        <v>1.0149999999999999</v>
      </c>
      <c r="F11" s="91">
        <f>$F$10*E11</f>
        <v>258.26</v>
      </c>
      <c r="G11" s="92">
        <f>'Unit Price Assumptions'!C8</f>
        <v>49.61</v>
      </c>
      <c r="H11" s="91">
        <f t="shared" si="0"/>
        <v>12812.28</v>
      </c>
      <c r="I11" s="92"/>
      <c r="J11" s="91">
        <f t="shared" ref="J11:J41" si="1">F11*I11</f>
        <v>0</v>
      </c>
      <c r="K11" s="92"/>
      <c r="L11" s="91">
        <f t="shared" ref="L11:L41" si="2">F11*K11</f>
        <v>0</v>
      </c>
      <c r="M11" s="93">
        <f t="shared" ref="M11:M41" si="3">H11+J11+L11</f>
        <v>12812.28</v>
      </c>
      <c r="O11" s="9"/>
      <c r="P11" s="6"/>
    </row>
    <row r="12" spans="1:16" x14ac:dyDescent="0.5">
      <c r="A12" s="94"/>
      <c r="B12" s="95" t="s">
        <v>29</v>
      </c>
      <c r="C12" s="95" t="s">
        <v>44</v>
      </c>
      <c r="D12" s="96" t="s">
        <v>15</v>
      </c>
      <c r="E12" s="97">
        <v>1.05</v>
      </c>
      <c r="F12" s="91">
        <f>$F$10*E12</f>
        <v>267.16000000000003</v>
      </c>
      <c r="G12" s="92">
        <f>'Unit Price Assumptions'!C12</f>
        <v>8.5500000000000007</v>
      </c>
      <c r="H12" s="91">
        <f t="shared" si="0"/>
        <v>2284.2199999999998</v>
      </c>
      <c r="I12" s="92"/>
      <c r="J12" s="91">
        <f t="shared" si="1"/>
        <v>0</v>
      </c>
      <c r="K12" s="92"/>
      <c r="L12" s="91">
        <f t="shared" si="2"/>
        <v>0</v>
      </c>
      <c r="M12" s="93">
        <f t="shared" si="3"/>
        <v>2284.2199999999998</v>
      </c>
      <c r="O12" s="9"/>
      <c r="P12" s="6"/>
    </row>
    <row r="13" spans="1:16" x14ac:dyDescent="0.5">
      <c r="A13" s="94"/>
      <c r="B13" s="95" t="s">
        <v>37</v>
      </c>
      <c r="C13" s="95" t="s">
        <v>43</v>
      </c>
      <c r="D13" s="96" t="s">
        <v>11</v>
      </c>
      <c r="E13" s="97">
        <v>4.4999999999999998E-2</v>
      </c>
      <c r="F13" s="91">
        <f>$F$10*E13</f>
        <v>11.45</v>
      </c>
      <c r="G13" s="92">
        <f>'Unit Price Assumptions'!C13</f>
        <v>383.23</v>
      </c>
      <c r="H13" s="91">
        <f t="shared" si="0"/>
        <v>4387.9799999999996</v>
      </c>
      <c r="I13" s="92"/>
      <c r="J13" s="91">
        <f t="shared" si="1"/>
        <v>0</v>
      </c>
      <c r="K13" s="92"/>
      <c r="L13" s="91">
        <f t="shared" si="2"/>
        <v>0</v>
      </c>
      <c r="M13" s="93">
        <f t="shared" si="3"/>
        <v>4387.9799999999996</v>
      </c>
      <c r="P13" s="6"/>
    </row>
    <row r="14" spans="1:16" x14ac:dyDescent="0.5">
      <c r="A14" s="94"/>
      <c r="B14" s="95" t="s">
        <v>30</v>
      </c>
      <c r="C14" s="95" t="s">
        <v>45</v>
      </c>
      <c r="D14" s="96" t="s">
        <v>12</v>
      </c>
      <c r="E14" s="97">
        <v>2.5</v>
      </c>
      <c r="F14" s="91">
        <f>$F$10*E14</f>
        <v>636.1</v>
      </c>
      <c r="G14" s="92">
        <f>'Unit Price Assumptions'!C15</f>
        <v>1.44</v>
      </c>
      <c r="H14" s="91">
        <f t="shared" si="0"/>
        <v>915.98</v>
      </c>
      <c r="I14" s="92"/>
      <c r="J14" s="91">
        <f t="shared" si="1"/>
        <v>0</v>
      </c>
      <c r="K14" s="92"/>
      <c r="L14" s="91">
        <f t="shared" si="2"/>
        <v>0</v>
      </c>
      <c r="M14" s="93">
        <f t="shared" si="3"/>
        <v>915.98</v>
      </c>
      <c r="P14" s="6"/>
    </row>
    <row r="15" spans="1:16" x14ac:dyDescent="0.5">
      <c r="A15" s="94"/>
      <c r="B15" s="95" t="s">
        <v>38</v>
      </c>
      <c r="C15" s="95" t="s">
        <v>48</v>
      </c>
      <c r="D15" s="96" t="s">
        <v>35</v>
      </c>
      <c r="E15" s="97">
        <v>1.03</v>
      </c>
      <c r="F15" s="91">
        <f>E15*4.329</f>
        <v>4.46</v>
      </c>
      <c r="G15" s="92">
        <f>'Unit Price Assumptions'!C10</f>
        <v>393.22</v>
      </c>
      <c r="H15" s="91">
        <f t="shared" si="0"/>
        <v>1753.76</v>
      </c>
      <c r="I15" s="92">
        <f>'Unit Price Assumptions'!D10</f>
        <v>0</v>
      </c>
      <c r="J15" s="91">
        <f t="shared" si="1"/>
        <v>0</v>
      </c>
      <c r="K15" s="92"/>
      <c r="L15" s="91">
        <f t="shared" si="2"/>
        <v>0</v>
      </c>
      <c r="M15" s="93">
        <f t="shared" si="3"/>
        <v>1753.76</v>
      </c>
      <c r="P15" s="6"/>
    </row>
    <row r="16" spans="1:16" x14ac:dyDescent="0.5">
      <c r="A16" s="94"/>
      <c r="B16" s="95" t="s">
        <v>39</v>
      </c>
      <c r="C16" s="95" t="s">
        <v>46</v>
      </c>
      <c r="D16" s="96" t="s">
        <v>35</v>
      </c>
      <c r="E16" s="97">
        <v>1.03</v>
      </c>
      <c r="F16" s="91">
        <f>E16*27.534</f>
        <v>28.36</v>
      </c>
      <c r="G16" s="92">
        <f>'Unit Price Assumptions'!C11</f>
        <v>393.22</v>
      </c>
      <c r="H16" s="91">
        <f t="shared" si="0"/>
        <v>11151.72</v>
      </c>
      <c r="I16" s="92">
        <f>'Unit Price Assumptions'!D11</f>
        <v>0</v>
      </c>
      <c r="J16" s="91">
        <f t="shared" si="1"/>
        <v>0</v>
      </c>
      <c r="K16" s="92"/>
      <c r="L16" s="91">
        <f t="shared" si="2"/>
        <v>0</v>
      </c>
      <c r="M16" s="93">
        <f t="shared" si="3"/>
        <v>11151.72</v>
      </c>
    </row>
    <row r="17" spans="1:13" x14ac:dyDescent="0.5">
      <c r="A17" s="94"/>
      <c r="B17" s="95" t="s">
        <v>28</v>
      </c>
      <c r="C17" s="95" t="s">
        <v>47</v>
      </c>
      <c r="D17" s="96"/>
      <c r="E17" s="92">
        <v>0.16</v>
      </c>
      <c r="F17" s="91">
        <f>$F$10*E17</f>
        <v>40.71</v>
      </c>
      <c r="G17" s="92">
        <f>'Unit Price Assumptions'!C16</f>
        <v>26.35</v>
      </c>
      <c r="H17" s="91">
        <f t="shared" si="0"/>
        <v>1072.71</v>
      </c>
      <c r="I17" s="92"/>
      <c r="J17" s="91">
        <f t="shared" si="1"/>
        <v>0</v>
      </c>
      <c r="K17" s="92"/>
      <c r="L17" s="91">
        <f t="shared" si="2"/>
        <v>0</v>
      </c>
      <c r="M17" s="93">
        <f t="shared" si="3"/>
        <v>1072.71</v>
      </c>
    </row>
    <row r="18" spans="1:13" s="1" customFormat="1" ht="29.35" x14ac:dyDescent="0.5">
      <c r="A18" s="94">
        <v>2</v>
      </c>
      <c r="B18" s="169" t="s">
        <v>63</v>
      </c>
      <c r="C18" s="169" t="s">
        <v>64</v>
      </c>
      <c r="D18" s="91" t="s">
        <v>11</v>
      </c>
      <c r="E18" s="91"/>
      <c r="F18" s="170">
        <v>18.48</v>
      </c>
      <c r="G18" s="92"/>
      <c r="H18" s="91">
        <f t="shared" si="0"/>
        <v>0</v>
      </c>
      <c r="I18" s="92">
        <f>'Unit Price Assumptions'!D17</f>
        <v>47.95</v>
      </c>
      <c r="J18" s="91">
        <f t="shared" si="1"/>
        <v>886.12</v>
      </c>
      <c r="K18" s="92">
        <f>K10</f>
        <v>0</v>
      </c>
      <c r="L18" s="91">
        <f t="shared" si="2"/>
        <v>0</v>
      </c>
      <c r="M18" s="93">
        <f t="shared" si="3"/>
        <v>886.12</v>
      </c>
    </row>
    <row r="19" spans="1:13" x14ac:dyDescent="0.5">
      <c r="A19" s="94"/>
      <c r="B19" s="95" t="s">
        <v>57</v>
      </c>
      <c r="C19" s="131" t="s">
        <v>62</v>
      </c>
      <c r="D19" s="96" t="s">
        <v>11</v>
      </c>
      <c r="E19" s="97">
        <v>1.0149999999999999</v>
      </c>
      <c r="F19" s="91">
        <f>$F$18*E19</f>
        <v>18.760000000000002</v>
      </c>
      <c r="G19" s="92">
        <f>G11</f>
        <v>49.61</v>
      </c>
      <c r="H19" s="91">
        <f t="shared" si="0"/>
        <v>930.68</v>
      </c>
      <c r="I19" s="92"/>
      <c r="J19" s="91">
        <f t="shared" si="1"/>
        <v>0</v>
      </c>
      <c r="K19" s="92"/>
      <c r="L19" s="91">
        <f t="shared" si="2"/>
        <v>0</v>
      </c>
      <c r="M19" s="93">
        <f t="shared" si="3"/>
        <v>930.68</v>
      </c>
    </row>
    <row r="20" spans="1:13" x14ac:dyDescent="0.5">
      <c r="A20" s="94"/>
      <c r="B20" s="95" t="s">
        <v>29</v>
      </c>
      <c r="C20" s="131" t="s">
        <v>44</v>
      </c>
      <c r="D20" s="96" t="s">
        <v>15</v>
      </c>
      <c r="E20" s="97">
        <v>2.64</v>
      </c>
      <c r="F20" s="91">
        <f>$F$18*E20</f>
        <v>48.79</v>
      </c>
      <c r="G20" s="92">
        <f t="shared" ref="G20:G25" si="4">G12</f>
        <v>8.5500000000000007</v>
      </c>
      <c r="H20" s="91">
        <f t="shared" si="0"/>
        <v>417.15</v>
      </c>
      <c r="I20" s="92"/>
      <c r="J20" s="91">
        <f t="shared" si="1"/>
        <v>0</v>
      </c>
      <c r="K20" s="92"/>
      <c r="L20" s="91">
        <f t="shared" si="2"/>
        <v>0</v>
      </c>
      <c r="M20" s="93">
        <f t="shared" si="3"/>
        <v>417.15</v>
      </c>
    </row>
    <row r="21" spans="1:13" x14ac:dyDescent="0.5">
      <c r="A21" s="94"/>
      <c r="B21" s="95" t="s">
        <v>37</v>
      </c>
      <c r="C21" s="95" t="s">
        <v>43</v>
      </c>
      <c r="D21" s="96" t="s">
        <v>11</v>
      </c>
      <c r="E21" s="97">
        <v>0.2</v>
      </c>
      <c r="F21" s="91">
        <f>$F$18*E21</f>
        <v>3.7</v>
      </c>
      <c r="G21" s="92">
        <f t="shared" si="4"/>
        <v>383.23</v>
      </c>
      <c r="H21" s="91">
        <f t="shared" si="0"/>
        <v>1417.95</v>
      </c>
      <c r="I21" s="92"/>
      <c r="J21" s="91">
        <f t="shared" si="1"/>
        <v>0</v>
      </c>
      <c r="K21" s="92"/>
      <c r="L21" s="91">
        <f t="shared" si="2"/>
        <v>0</v>
      </c>
      <c r="M21" s="93">
        <f t="shared" si="3"/>
        <v>1417.95</v>
      </c>
    </row>
    <row r="22" spans="1:13" x14ac:dyDescent="0.5">
      <c r="A22" s="94"/>
      <c r="B22" s="95" t="s">
        <v>30</v>
      </c>
      <c r="C22" s="131" t="s">
        <v>45</v>
      </c>
      <c r="D22" s="96" t="s">
        <v>12</v>
      </c>
      <c r="E22" s="97">
        <v>2.5</v>
      </c>
      <c r="F22" s="91">
        <f>$F$18*E22</f>
        <v>46.2</v>
      </c>
      <c r="G22" s="92">
        <f t="shared" si="4"/>
        <v>1.44</v>
      </c>
      <c r="H22" s="91">
        <f t="shared" si="0"/>
        <v>66.53</v>
      </c>
      <c r="I22" s="92"/>
      <c r="J22" s="91">
        <f t="shared" si="1"/>
        <v>0</v>
      </c>
      <c r="K22" s="92"/>
      <c r="L22" s="91">
        <f t="shared" si="2"/>
        <v>0</v>
      </c>
      <c r="M22" s="93">
        <f t="shared" si="3"/>
        <v>66.53</v>
      </c>
    </row>
    <row r="23" spans="1:13" x14ac:dyDescent="0.5">
      <c r="A23" s="94"/>
      <c r="B23" s="95" t="s">
        <v>38</v>
      </c>
      <c r="C23" s="131" t="s">
        <v>48</v>
      </c>
      <c r="D23" s="96" t="s">
        <v>35</v>
      </c>
      <c r="E23" s="97">
        <v>1.03</v>
      </c>
      <c r="F23" s="91">
        <f>E23*0.829</f>
        <v>0.85</v>
      </c>
      <c r="G23" s="92">
        <f t="shared" si="4"/>
        <v>393.22</v>
      </c>
      <c r="H23" s="91">
        <f t="shared" si="0"/>
        <v>334.24</v>
      </c>
      <c r="I23" s="92">
        <f>'Unit Price Assumptions'!D10</f>
        <v>0</v>
      </c>
      <c r="J23" s="91">
        <f t="shared" si="1"/>
        <v>0</v>
      </c>
      <c r="K23" s="92"/>
      <c r="L23" s="91">
        <f t="shared" si="2"/>
        <v>0</v>
      </c>
      <c r="M23" s="93">
        <f t="shared" si="3"/>
        <v>334.24</v>
      </c>
    </row>
    <row r="24" spans="1:13" x14ac:dyDescent="0.5">
      <c r="A24" s="94"/>
      <c r="B24" s="95" t="s">
        <v>39</v>
      </c>
      <c r="C24" s="131" t="s">
        <v>46</v>
      </c>
      <c r="D24" s="96" t="s">
        <v>35</v>
      </c>
      <c r="E24" s="97">
        <v>1.03</v>
      </c>
      <c r="F24" s="91">
        <f>E24*3.02</f>
        <v>3.11</v>
      </c>
      <c r="G24" s="92">
        <f t="shared" si="4"/>
        <v>393.22</v>
      </c>
      <c r="H24" s="91">
        <f t="shared" si="0"/>
        <v>1222.9100000000001</v>
      </c>
      <c r="I24" s="92">
        <f>'Unit Price Assumptions'!D11</f>
        <v>0</v>
      </c>
      <c r="J24" s="91">
        <f t="shared" si="1"/>
        <v>0</v>
      </c>
      <c r="K24" s="92"/>
      <c r="L24" s="91">
        <f t="shared" si="2"/>
        <v>0</v>
      </c>
      <c r="M24" s="93">
        <f t="shared" si="3"/>
        <v>1222.9100000000001</v>
      </c>
    </row>
    <row r="25" spans="1:13" x14ac:dyDescent="0.5">
      <c r="A25" s="132"/>
      <c r="B25" s="95" t="s">
        <v>28</v>
      </c>
      <c r="C25" s="131" t="s">
        <v>47</v>
      </c>
      <c r="D25" s="96"/>
      <c r="E25" s="92">
        <v>0.13</v>
      </c>
      <c r="F25" s="91">
        <f>$F$18*E25</f>
        <v>2.4</v>
      </c>
      <c r="G25" s="92">
        <f t="shared" si="4"/>
        <v>26.35</v>
      </c>
      <c r="H25" s="91">
        <f t="shared" si="0"/>
        <v>63.24</v>
      </c>
      <c r="I25" s="92"/>
      <c r="J25" s="91">
        <f t="shared" si="1"/>
        <v>0</v>
      </c>
      <c r="K25" s="92"/>
      <c r="L25" s="91">
        <f t="shared" si="2"/>
        <v>0</v>
      </c>
      <c r="M25" s="93">
        <f t="shared" si="3"/>
        <v>63.24</v>
      </c>
    </row>
    <row r="26" spans="1:13" s="1" customFormat="1" ht="29.35" x14ac:dyDescent="0.5">
      <c r="A26" s="94">
        <v>3</v>
      </c>
      <c r="B26" s="169" t="s">
        <v>71</v>
      </c>
      <c r="C26" s="169" t="s">
        <v>66</v>
      </c>
      <c r="D26" s="91" t="s">
        <v>11</v>
      </c>
      <c r="E26" s="91"/>
      <c r="F26" s="170">
        <v>14.9</v>
      </c>
      <c r="G26" s="92"/>
      <c r="H26" s="91">
        <f t="shared" si="0"/>
        <v>0</v>
      </c>
      <c r="I26" s="92">
        <f>'Unit Price Assumptions'!D18</f>
        <v>52.99</v>
      </c>
      <c r="J26" s="91">
        <f t="shared" si="1"/>
        <v>789.55</v>
      </c>
      <c r="K26" s="92">
        <f>K18</f>
        <v>0</v>
      </c>
      <c r="L26" s="91">
        <f t="shared" si="2"/>
        <v>0</v>
      </c>
      <c r="M26" s="93">
        <f t="shared" si="3"/>
        <v>789.55</v>
      </c>
    </row>
    <row r="27" spans="1:13" x14ac:dyDescent="0.5">
      <c r="A27" s="94"/>
      <c r="B27" s="95" t="s">
        <v>57</v>
      </c>
      <c r="C27" s="131" t="s">
        <v>62</v>
      </c>
      <c r="D27" s="96" t="s">
        <v>11</v>
      </c>
      <c r="E27" s="97">
        <v>1.0149999999999999</v>
      </c>
      <c r="F27" s="91">
        <f>E27*F26</f>
        <v>15.12</v>
      </c>
      <c r="G27" s="92">
        <f>G19</f>
        <v>49.61</v>
      </c>
      <c r="H27" s="91">
        <f t="shared" si="0"/>
        <v>750.1</v>
      </c>
      <c r="I27" s="92"/>
      <c r="J27" s="91">
        <f t="shared" si="1"/>
        <v>0</v>
      </c>
      <c r="K27" s="92"/>
      <c r="L27" s="91">
        <f t="shared" si="2"/>
        <v>0</v>
      </c>
      <c r="M27" s="93">
        <f t="shared" si="3"/>
        <v>750.1</v>
      </c>
    </row>
    <row r="28" spans="1:13" x14ac:dyDescent="0.5">
      <c r="A28" s="94"/>
      <c r="B28" s="95" t="s">
        <v>29</v>
      </c>
      <c r="C28" s="131" t="s">
        <v>44</v>
      </c>
      <c r="D28" s="96" t="s">
        <v>15</v>
      </c>
      <c r="E28" s="97">
        <v>2.64</v>
      </c>
      <c r="F28" s="91">
        <f>E28*F26</f>
        <v>39.340000000000003</v>
      </c>
      <c r="G28" s="92">
        <f t="shared" ref="G28:G33" si="5">G20</f>
        <v>8.5500000000000007</v>
      </c>
      <c r="H28" s="91">
        <f t="shared" si="0"/>
        <v>336.36</v>
      </c>
      <c r="I28" s="92"/>
      <c r="J28" s="91">
        <f t="shared" si="1"/>
        <v>0</v>
      </c>
      <c r="K28" s="92"/>
      <c r="L28" s="91">
        <f t="shared" si="2"/>
        <v>0</v>
      </c>
      <c r="M28" s="93">
        <f t="shared" si="3"/>
        <v>336.36</v>
      </c>
    </row>
    <row r="29" spans="1:13" x14ac:dyDescent="0.5">
      <c r="A29" s="94"/>
      <c r="B29" s="95" t="s">
        <v>37</v>
      </c>
      <c r="C29" s="95" t="s">
        <v>43</v>
      </c>
      <c r="D29" s="96" t="s">
        <v>11</v>
      </c>
      <c r="E29" s="162">
        <v>0.2</v>
      </c>
      <c r="F29" s="91">
        <f>E29*F26</f>
        <v>2.98</v>
      </c>
      <c r="G29" s="92">
        <f t="shared" si="5"/>
        <v>383.23</v>
      </c>
      <c r="H29" s="91">
        <f t="shared" si="0"/>
        <v>1142.03</v>
      </c>
      <c r="I29" s="92"/>
      <c r="J29" s="91">
        <f t="shared" si="1"/>
        <v>0</v>
      </c>
      <c r="K29" s="92"/>
      <c r="L29" s="91">
        <f t="shared" si="2"/>
        <v>0</v>
      </c>
      <c r="M29" s="93">
        <f t="shared" si="3"/>
        <v>1142.03</v>
      </c>
    </row>
    <row r="30" spans="1:13" x14ac:dyDescent="0.5">
      <c r="A30" s="94"/>
      <c r="B30" s="95" t="s">
        <v>30</v>
      </c>
      <c r="C30" s="131" t="s">
        <v>45</v>
      </c>
      <c r="D30" s="96" t="s">
        <v>12</v>
      </c>
      <c r="E30" s="97">
        <v>2.5</v>
      </c>
      <c r="F30" s="91">
        <f>E30*F26</f>
        <v>37.25</v>
      </c>
      <c r="G30" s="92">
        <f t="shared" si="5"/>
        <v>1.44</v>
      </c>
      <c r="H30" s="91">
        <f t="shared" si="0"/>
        <v>53.64</v>
      </c>
      <c r="I30" s="92"/>
      <c r="J30" s="91">
        <f t="shared" si="1"/>
        <v>0</v>
      </c>
      <c r="K30" s="92"/>
      <c r="L30" s="91">
        <f t="shared" si="2"/>
        <v>0</v>
      </c>
      <c r="M30" s="93">
        <f t="shared" si="3"/>
        <v>53.64</v>
      </c>
    </row>
    <row r="31" spans="1:13" x14ac:dyDescent="0.5">
      <c r="A31" s="94"/>
      <c r="B31" s="95" t="s">
        <v>38</v>
      </c>
      <c r="C31" s="131" t="s">
        <v>48</v>
      </c>
      <c r="D31" s="96" t="s">
        <v>35</v>
      </c>
      <c r="E31" s="97">
        <v>1.03</v>
      </c>
      <c r="F31" s="91">
        <f>E31*0.093</f>
        <v>0.1</v>
      </c>
      <c r="G31" s="92">
        <f t="shared" si="5"/>
        <v>393.22</v>
      </c>
      <c r="H31" s="91">
        <f t="shared" si="0"/>
        <v>39.32</v>
      </c>
      <c r="I31" s="92">
        <f>I23</f>
        <v>0</v>
      </c>
      <c r="J31" s="91">
        <f t="shared" si="1"/>
        <v>0</v>
      </c>
      <c r="K31" s="92"/>
      <c r="L31" s="91">
        <f t="shared" si="2"/>
        <v>0</v>
      </c>
      <c r="M31" s="93">
        <f t="shared" si="3"/>
        <v>39.32</v>
      </c>
    </row>
    <row r="32" spans="1:13" x14ac:dyDescent="0.5">
      <c r="A32" s="94"/>
      <c r="B32" s="95" t="s">
        <v>39</v>
      </c>
      <c r="C32" s="131" t="s">
        <v>46</v>
      </c>
      <c r="D32" s="96" t="s">
        <v>35</v>
      </c>
      <c r="E32" s="97">
        <v>1.03</v>
      </c>
      <c r="F32" s="91">
        <f>E32*2.107</f>
        <v>2.17</v>
      </c>
      <c r="G32" s="92">
        <f t="shared" si="5"/>
        <v>393.22</v>
      </c>
      <c r="H32" s="91">
        <f t="shared" si="0"/>
        <v>853.29</v>
      </c>
      <c r="I32" s="92">
        <f>I31</f>
        <v>0</v>
      </c>
      <c r="J32" s="91">
        <f t="shared" si="1"/>
        <v>0</v>
      </c>
      <c r="K32" s="92"/>
      <c r="L32" s="91">
        <f t="shared" si="2"/>
        <v>0</v>
      </c>
      <c r="M32" s="93">
        <f t="shared" si="3"/>
        <v>853.29</v>
      </c>
    </row>
    <row r="33" spans="1:14" x14ac:dyDescent="0.5">
      <c r="A33" s="132"/>
      <c r="B33" s="95" t="s">
        <v>28</v>
      </c>
      <c r="C33" s="131" t="s">
        <v>47</v>
      </c>
      <c r="D33" s="96"/>
      <c r="E33" s="92">
        <v>0.13</v>
      </c>
      <c r="F33" s="91">
        <f>E33*F26</f>
        <v>1.94</v>
      </c>
      <c r="G33" s="92">
        <f t="shared" si="5"/>
        <v>26.35</v>
      </c>
      <c r="H33" s="91">
        <f t="shared" si="0"/>
        <v>51.12</v>
      </c>
      <c r="I33" s="92"/>
      <c r="J33" s="91">
        <f t="shared" si="1"/>
        <v>0</v>
      </c>
      <c r="K33" s="92"/>
      <c r="L33" s="91">
        <f t="shared" si="2"/>
        <v>0</v>
      </c>
      <c r="M33" s="93">
        <f t="shared" si="3"/>
        <v>51.12</v>
      </c>
    </row>
    <row r="34" spans="1:14" s="1" customFormat="1" x14ac:dyDescent="0.5">
      <c r="A34" s="94">
        <v>4</v>
      </c>
      <c r="B34" s="169" t="s">
        <v>36</v>
      </c>
      <c r="C34" s="169" t="s">
        <v>65</v>
      </c>
      <c r="D34" s="91" t="s">
        <v>11</v>
      </c>
      <c r="E34" s="91"/>
      <c r="F34" s="170">
        <f>'+3.970'!F36</f>
        <v>6.14</v>
      </c>
      <c r="G34" s="92"/>
      <c r="H34" s="91">
        <f t="shared" si="0"/>
        <v>0</v>
      </c>
      <c r="I34" s="92">
        <f>'Unit Price Assumptions'!D20</f>
        <v>63.09</v>
      </c>
      <c r="J34" s="91">
        <f t="shared" si="1"/>
        <v>387.37</v>
      </c>
      <c r="K34" s="92">
        <f>K26</f>
        <v>0</v>
      </c>
      <c r="L34" s="91">
        <f t="shared" si="2"/>
        <v>0</v>
      </c>
      <c r="M34" s="93">
        <f t="shared" si="3"/>
        <v>387.37</v>
      </c>
    </row>
    <row r="35" spans="1:14" x14ac:dyDescent="0.5">
      <c r="A35" s="94"/>
      <c r="B35" s="95" t="s">
        <v>57</v>
      </c>
      <c r="C35" s="131" t="s">
        <v>62</v>
      </c>
      <c r="D35" s="96" t="s">
        <v>11</v>
      </c>
      <c r="E35" s="97">
        <v>1.0149999999999999</v>
      </c>
      <c r="F35" s="91">
        <f>'+3.970'!F37</f>
        <v>6.23</v>
      </c>
      <c r="G35" s="92">
        <f>G27</f>
        <v>49.61</v>
      </c>
      <c r="H35" s="91">
        <f t="shared" si="0"/>
        <v>309.07</v>
      </c>
      <c r="I35" s="92"/>
      <c r="J35" s="91">
        <f t="shared" si="1"/>
        <v>0</v>
      </c>
      <c r="K35" s="92"/>
      <c r="L35" s="91">
        <f t="shared" si="2"/>
        <v>0</v>
      </c>
      <c r="M35" s="93">
        <f t="shared" si="3"/>
        <v>309.07</v>
      </c>
    </row>
    <row r="36" spans="1:14" x14ac:dyDescent="0.5">
      <c r="A36" s="94"/>
      <c r="B36" s="95" t="s">
        <v>29</v>
      </c>
      <c r="C36" s="131" t="s">
        <v>44</v>
      </c>
      <c r="D36" s="96" t="s">
        <v>15</v>
      </c>
      <c r="E36" s="97">
        <v>0.57999999999999996</v>
      </c>
      <c r="F36" s="91">
        <f>'+3.970'!F38</f>
        <v>3.56</v>
      </c>
      <c r="G36" s="92">
        <f>G28</f>
        <v>8.5500000000000007</v>
      </c>
      <c r="H36" s="91">
        <f t="shared" si="0"/>
        <v>30.44</v>
      </c>
      <c r="I36" s="92"/>
      <c r="J36" s="91">
        <f t="shared" si="1"/>
        <v>0</v>
      </c>
      <c r="K36" s="92"/>
      <c r="L36" s="91">
        <f t="shared" si="2"/>
        <v>0</v>
      </c>
      <c r="M36" s="93">
        <f t="shared" si="3"/>
        <v>30.44</v>
      </c>
    </row>
    <row r="37" spans="1:14" x14ac:dyDescent="0.5">
      <c r="A37" s="94"/>
      <c r="B37" s="95" t="s">
        <v>34</v>
      </c>
      <c r="C37" s="131" t="s">
        <v>49</v>
      </c>
      <c r="D37" s="96" t="s">
        <v>11</v>
      </c>
      <c r="E37" s="97">
        <v>0.02</v>
      </c>
      <c r="F37" s="91">
        <f>'+3.970'!F39</f>
        <v>0.12</v>
      </c>
      <c r="G37" s="92">
        <f>'Unit Price Assumptions'!C14</f>
        <v>222.41</v>
      </c>
      <c r="H37" s="91">
        <f t="shared" si="0"/>
        <v>26.69</v>
      </c>
      <c r="I37" s="92"/>
      <c r="J37" s="91">
        <f t="shared" si="1"/>
        <v>0</v>
      </c>
      <c r="K37" s="92"/>
      <c r="L37" s="91">
        <f t="shared" si="2"/>
        <v>0</v>
      </c>
      <c r="M37" s="93">
        <f t="shared" si="3"/>
        <v>26.69</v>
      </c>
    </row>
    <row r="38" spans="1:14" x14ac:dyDescent="0.5">
      <c r="A38" s="94"/>
      <c r="B38" s="95" t="s">
        <v>30</v>
      </c>
      <c r="C38" s="131" t="s">
        <v>45</v>
      </c>
      <c r="D38" s="96" t="s">
        <v>12</v>
      </c>
      <c r="E38" s="97">
        <v>2.5</v>
      </c>
      <c r="F38" s="91">
        <f>'+3.970'!F40</f>
        <v>15.35</v>
      </c>
      <c r="G38" s="92">
        <f>'Unit Price Assumptions'!C15</f>
        <v>1.44</v>
      </c>
      <c r="H38" s="91">
        <f t="shared" si="0"/>
        <v>22.1</v>
      </c>
      <c r="I38" s="92"/>
      <c r="J38" s="91">
        <f t="shared" si="1"/>
        <v>0</v>
      </c>
      <c r="K38" s="92"/>
      <c r="L38" s="91">
        <f t="shared" si="2"/>
        <v>0</v>
      </c>
      <c r="M38" s="93">
        <f t="shared" si="3"/>
        <v>22.1</v>
      </c>
    </row>
    <row r="39" spans="1:14" x14ac:dyDescent="0.5">
      <c r="A39" s="94"/>
      <c r="B39" s="95" t="s">
        <v>38</v>
      </c>
      <c r="C39" s="131" t="s">
        <v>48</v>
      </c>
      <c r="D39" s="96" t="s">
        <v>35</v>
      </c>
      <c r="E39" s="97">
        <v>1.03</v>
      </c>
      <c r="F39" s="91">
        <f>'+3.970'!F41</f>
        <v>0.02</v>
      </c>
      <c r="G39" s="92">
        <f>G31</f>
        <v>393.22</v>
      </c>
      <c r="H39" s="91">
        <f t="shared" si="0"/>
        <v>7.86</v>
      </c>
      <c r="I39" s="92">
        <f>I31</f>
        <v>0</v>
      </c>
      <c r="J39" s="91">
        <f t="shared" si="1"/>
        <v>0</v>
      </c>
      <c r="K39" s="92"/>
      <c r="L39" s="91">
        <f t="shared" si="2"/>
        <v>0</v>
      </c>
      <c r="M39" s="93">
        <f t="shared" si="3"/>
        <v>7.86</v>
      </c>
    </row>
    <row r="40" spans="1:14" x14ac:dyDescent="0.5">
      <c r="A40" s="94"/>
      <c r="B40" s="95" t="s">
        <v>39</v>
      </c>
      <c r="C40" s="131" t="s">
        <v>46</v>
      </c>
      <c r="D40" s="96" t="s">
        <v>35</v>
      </c>
      <c r="E40" s="97">
        <v>1.03</v>
      </c>
      <c r="F40" s="91">
        <f>'+3.970'!F42</f>
        <v>0.54</v>
      </c>
      <c r="G40" s="92">
        <f t="shared" ref="G40:G41" si="6">G32</f>
        <v>393.22</v>
      </c>
      <c r="H40" s="91">
        <f t="shared" si="0"/>
        <v>212.34</v>
      </c>
      <c r="I40" s="92">
        <f>I32</f>
        <v>0</v>
      </c>
      <c r="J40" s="91">
        <f t="shared" si="1"/>
        <v>0</v>
      </c>
      <c r="K40" s="92"/>
      <c r="L40" s="91">
        <f t="shared" si="2"/>
        <v>0</v>
      </c>
      <c r="M40" s="93">
        <f t="shared" si="3"/>
        <v>212.34</v>
      </c>
    </row>
    <row r="41" spans="1:14" ht="15" thickBot="1" x14ac:dyDescent="0.55000000000000004">
      <c r="A41" s="132"/>
      <c r="B41" s="95" t="s">
        <v>28</v>
      </c>
      <c r="C41" s="131" t="s">
        <v>47</v>
      </c>
      <c r="D41" s="96"/>
      <c r="E41" s="92">
        <v>0.39</v>
      </c>
      <c r="F41" s="91">
        <f>'+3.970'!F43</f>
        <v>2.39</v>
      </c>
      <c r="G41" s="92">
        <f t="shared" si="6"/>
        <v>26.35</v>
      </c>
      <c r="H41" s="91">
        <f t="shared" si="0"/>
        <v>62.98</v>
      </c>
      <c r="I41" s="92"/>
      <c r="J41" s="91">
        <f t="shared" si="1"/>
        <v>0</v>
      </c>
      <c r="K41" s="92"/>
      <c r="L41" s="91">
        <f t="shared" si="2"/>
        <v>0</v>
      </c>
      <c r="M41" s="93">
        <f t="shared" si="3"/>
        <v>62.98</v>
      </c>
    </row>
    <row r="42" spans="1:14" ht="15" thickBot="1" x14ac:dyDescent="0.55000000000000004">
      <c r="B42" s="77"/>
      <c r="C42" s="77"/>
      <c r="D42" s="98"/>
      <c r="E42" s="77"/>
      <c r="F42" s="133"/>
      <c r="G42" s="75"/>
      <c r="H42" s="101">
        <f>SUM(H10:H41)</f>
        <v>42728.69</v>
      </c>
      <c r="I42" s="102"/>
      <c r="J42" s="103">
        <f>SUM(J10:J41)</f>
        <v>15545.82</v>
      </c>
      <c r="K42" s="102"/>
      <c r="L42" s="103">
        <f>SUM(L10:L41)</f>
        <v>0</v>
      </c>
      <c r="M42" s="102">
        <f>SUM(M10:M41)</f>
        <v>58274.51</v>
      </c>
      <c r="N42" s="8"/>
    </row>
    <row r="43" spans="1:14" s="2" customFormat="1" ht="15" customHeight="1" x14ac:dyDescent="0.5">
      <c r="A43" s="74"/>
      <c r="B43" s="74"/>
      <c r="C43" s="74"/>
      <c r="D43" s="74"/>
      <c r="E43" s="74"/>
      <c r="F43" s="105"/>
      <c r="G43" s="106"/>
      <c r="H43" s="208" t="s">
        <v>26</v>
      </c>
      <c r="I43" s="209"/>
      <c r="J43" s="107"/>
      <c r="K43" s="116">
        <v>0.11</v>
      </c>
      <c r="L43" s="107"/>
      <c r="M43" s="108">
        <f>M42*K43</f>
        <v>6410.2</v>
      </c>
      <c r="N43" s="5"/>
    </row>
    <row r="44" spans="1:14" s="2" customFormat="1" ht="15" customHeight="1" thickBot="1" x14ac:dyDescent="0.55000000000000004">
      <c r="A44" s="74"/>
      <c r="B44" s="74"/>
      <c r="C44" s="74"/>
      <c r="D44" s="109"/>
      <c r="E44" s="110"/>
      <c r="F44" s="105"/>
      <c r="G44" s="105"/>
      <c r="H44" s="210" t="s">
        <v>27</v>
      </c>
      <c r="I44" s="211"/>
      <c r="J44" s="111"/>
      <c r="K44" s="112" t="str">
        <f>K46</f>
        <v>USD</v>
      </c>
      <c r="L44" s="111"/>
      <c r="M44" s="113">
        <f>M42+M43</f>
        <v>64684.71</v>
      </c>
      <c r="N44" s="5"/>
    </row>
    <row r="45" spans="1:14" s="2" customFormat="1" x14ac:dyDescent="0.5">
      <c r="A45" s="74"/>
      <c r="B45" s="74"/>
      <c r="C45" s="172"/>
      <c r="D45" s="109"/>
      <c r="E45" s="110"/>
      <c r="F45" s="105"/>
      <c r="G45" s="106"/>
      <c r="H45" s="208" t="s">
        <v>67</v>
      </c>
      <c r="I45" s="209"/>
      <c r="J45" s="107"/>
      <c r="K45" s="116">
        <v>0.09</v>
      </c>
      <c r="L45" s="107"/>
      <c r="M45" s="108">
        <f>M44*K45</f>
        <v>5821.62</v>
      </c>
      <c r="N45" s="5"/>
    </row>
    <row r="46" spans="1:14" s="2" customFormat="1" ht="15" thickBot="1" x14ac:dyDescent="0.55000000000000004">
      <c r="A46" s="74"/>
      <c r="B46" s="74"/>
      <c r="C46" s="74"/>
      <c r="D46" s="109"/>
      <c r="E46" s="110"/>
      <c r="F46" s="114"/>
      <c r="G46" s="106"/>
      <c r="H46" s="210" t="s">
        <v>27</v>
      </c>
      <c r="I46" s="211"/>
      <c r="J46" s="111"/>
      <c r="K46" s="115" t="s">
        <v>19</v>
      </c>
      <c r="L46" s="111"/>
      <c r="M46" s="113">
        <f>M44+M45</f>
        <v>70506.33</v>
      </c>
      <c r="N46" s="5"/>
    </row>
    <row r="47" spans="1:14" s="2" customFormat="1" x14ac:dyDescent="0.5">
      <c r="A47" s="74"/>
      <c r="B47" s="74"/>
      <c r="C47" s="74"/>
      <c r="D47" s="74"/>
      <c r="E47" s="74"/>
      <c r="F47" s="74"/>
      <c r="G47" s="106"/>
      <c r="H47" s="204" t="s">
        <v>33</v>
      </c>
      <c r="I47" s="205"/>
      <c r="J47" s="107"/>
      <c r="K47" s="116">
        <v>0.18</v>
      </c>
      <c r="L47" s="107"/>
      <c r="M47" s="108">
        <f>M46*K47</f>
        <v>12691.14</v>
      </c>
      <c r="N47" s="5"/>
    </row>
    <row r="48" spans="1:14" s="2" customFormat="1" ht="15" thickBot="1" x14ac:dyDescent="0.55000000000000004">
      <c r="A48" s="74"/>
      <c r="B48" s="74"/>
      <c r="C48" s="74"/>
      <c r="D48" s="74"/>
      <c r="E48" s="74"/>
      <c r="F48" s="74"/>
      <c r="G48" s="106"/>
      <c r="H48" s="206" t="s">
        <v>25</v>
      </c>
      <c r="I48" s="207"/>
      <c r="J48" s="111"/>
      <c r="K48" s="117" t="s">
        <v>19</v>
      </c>
      <c r="L48" s="111"/>
      <c r="M48" s="113">
        <f>M46+M47</f>
        <v>83197.47</v>
      </c>
      <c r="N48" s="5"/>
    </row>
  </sheetData>
  <mergeCells count="20">
    <mergeCell ref="B9:C9"/>
    <mergeCell ref="G7:H7"/>
    <mergeCell ref="A7:A8"/>
    <mergeCell ref="B7:B8"/>
    <mergeCell ref="C7:C8"/>
    <mergeCell ref="D7:D8"/>
    <mergeCell ref="E7:F7"/>
    <mergeCell ref="K2:M2"/>
    <mergeCell ref="D3:I3"/>
    <mergeCell ref="D4:I4"/>
    <mergeCell ref="D5:I5"/>
    <mergeCell ref="H48:I48"/>
    <mergeCell ref="H43:I43"/>
    <mergeCell ref="H44:I44"/>
    <mergeCell ref="H45:I45"/>
    <mergeCell ref="H46:I46"/>
    <mergeCell ref="H47:I47"/>
    <mergeCell ref="I7:J7"/>
    <mergeCell ref="K7:L7"/>
    <mergeCell ref="M7:M8"/>
  </mergeCells>
  <pageMargins left="0.45" right="0.2" top="0.5" bottom="0.2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PageLayoutView="115" workbookViewId="0">
      <selection activeCell="M4" sqref="M4"/>
    </sheetView>
  </sheetViews>
  <sheetFormatPr defaultColWidth="8.87890625" defaultRowHeight="14.7" x14ac:dyDescent="0.5"/>
  <cols>
    <col min="1" max="1" width="3.29296875" style="79" customWidth="1"/>
    <col min="2" max="2" width="37.87890625" style="81" customWidth="1"/>
    <col min="3" max="3" width="41.5859375" style="81" customWidth="1"/>
    <col min="4" max="4" width="6.87890625" style="79" customWidth="1"/>
    <col min="5" max="5" width="12" style="79" customWidth="1"/>
    <col min="6" max="6" width="9.87890625" style="79" bestFit="1" customWidth="1"/>
    <col min="7" max="7" width="8.703125" style="79" customWidth="1"/>
    <col min="8" max="8" width="13.1171875" style="79" bestFit="1" customWidth="1"/>
    <col min="9" max="9" width="10" style="79" customWidth="1"/>
    <col min="10" max="10" width="11.87890625" style="79" bestFit="1" customWidth="1"/>
    <col min="11" max="11" width="12.41015625" style="79" bestFit="1" customWidth="1"/>
    <col min="12" max="12" width="16.5859375" style="79" bestFit="1" customWidth="1"/>
    <col min="13" max="13" width="14.5859375" style="39" bestFit="1" customWidth="1"/>
    <col min="14" max="16384" width="8.87890625" style="4"/>
  </cols>
  <sheetData>
    <row r="1" spans="1:16" x14ac:dyDescent="0.5">
      <c r="A1" s="77"/>
      <c r="B1" s="77"/>
      <c r="C1" s="77"/>
      <c r="D1" s="98"/>
      <c r="E1" s="77"/>
      <c r="F1" s="77"/>
      <c r="G1" s="75"/>
      <c r="H1" s="77"/>
      <c r="I1" s="75"/>
      <c r="J1" s="77"/>
      <c r="K1" s="77"/>
      <c r="L1" s="77"/>
      <c r="M1" s="122"/>
    </row>
    <row r="2" spans="1:16" ht="21" x14ac:dyDescent="0.55000000000000004">
      <c r="A2" s="98"/>
      <c r="B2" s="43" t="s">
        <v>138</v>
      </c>
      <c r="C2" s="135" t="s">
        <v>16</v>
      </c>
      <c r="D2" s="98"/>
      <c r="E2" s="77"/>
      <c r="F2" s="77"/>
      <c r="G2" s="75"/>
      <c r="H2" s="77"/>
      <c r="I2" s="75"/>
      <c r="J2" s="77"/>
      <c r="K2" s="212" t="s">
        <v>18</v>
      </c>
      <c r="L2" s="213"/>
      <c r="M2" s="214"/>
    </row>
    <row r="3" spans="1:16" ht="21" customHeight="1" x14ac:dyDescent="0.5">
      <c r="A3" s="98"/>
      <c r="B3" s="77"/>
      <c r="C3" s="77"/>
      <c r="D3" s="226"/>
      <c r="E3" s="226"/>
      <c r="F3" s="226"/>
      <c r="G3" s="226"/>
      <c r="H3" s="226"/>
      <c r="I3" s="226"/>
      <c r="J3" s="77"/>
      <c r="K3" s="123" t="s">
        <v>19</v>
      </c>
      <c r="L3" s="123" t="s">
        <v>41</v>
      </c>
      <c r="M3" s="92" t="str">
        <f ca="1">'+10.870'!M3</f>
        <v>US $  Rate</v>
      </c>
    </row>
    <row r="4" spans="1:16" ht="21" x14ac:dyDescent="0.5">
      <c r="A4" s="77"/>
      <c r="B4" s="155" t="s">
        <v>70</v>
      </c>
      <c r="C4" s="77"/>
      <c r="D4" s="226"/>
      <c r="E4" s="226"/>
      <c r="F4" s="226"/>
      <c r="G4" s="226"/>
      <c r="H4" s="226"/>
      <c r="I4" s="226"/>
      <c r="J4" s="77"/>
      <c r="K4" s="34">
        <f>M37</f>
        <v>53817.52</v>
      </c>
      <c r="L4" s="171">
        <f>K4*M4</f>
        <v>133289.85</v>
      </c>
      <c r="M4" s="189">
        <f>'Unit Price Assumptions'!D4</f>
        <v>2.4767000000000001</v>
      </c>
    </row>
    <row r="5" spans="1:16" x14ac:dyDescent="0.5">
      <c r="A5" s="77"/>
      <c r="B5" s="77"/>
      <c r="C5" s="77"/>
      <c r="D5" s="226"/>
      <c r="E5" s="226"/>
      <c r="F5" s="226"/>
      <c r="G5" s="226"/>
      <c r="H5" s="226"/>
      <c r="I5" s="226"/>
      <c r="J5" s="77"/>
      <c r="K5" s="78"/>
      <c r="L5" s="78"/>
      <c r="M5" s="38"/>
    </row>
    <row r="6" spans="1:16" x14ac:dyDescent="0.5">
      <c r="A6" s="77"/>
      <c r="B6" s="77"/>
      <c r="C6" s="77"/>
      <c r="D6" s="80"/>
      <c r="E6" s="80"/>
      <c r="F6" s="80"/>
      <c r="G6" s="80"/>
      <c r="H6" s="80"/>
      <c r="I6" s="80"/>
      <c r="J6" s="77"/>
      <c r="K6" s="78"/>
      <c r="L6" s="78"/>
      <c r="M6" s="38"/>
    </row>
    <row r="7" spans="1:16" ht="15.75" customHeight="1" x14ac:dyDescent="0.5">
      <c r="A7" s="226"/>
      <c r="B7" s="226"/>
      <c r="C7" s="226"/>
      <c r="D7" s="226"/>
      <c r="E7" s="226"/>
      <c r="F7" s="226"/>
      <c r="G7" s="226"/>
      <c r="H7" s="75"/>
      <c r="I7" s="75"/>
      <c r="J7" s="75"/>
      <c r="K7" s="75"/>
      <c r="L7" s="78"/>
      <c r="M7" s="38"/>
    </row>
    <row r="8" spans="1:16" ht="11.1" customHeight="1" x14ac:dyDescent="0.5">
      <c r="A8" s="229"/>
      <c r="B8" s="229"/>
      <c r="C8" s="229"/>
      <c r="D8" s="229"/>
      <c r="E8" s="229"/>
      <c r="F8" s="229"/>
      <c r="G8" s="229"/>
      <c r="H8" s="75"/>
      <c r="I8" s="75"/>
      <c r="J8" s="75"/>
      <c r="K8" s="75"/>
      <c r="L8" s="78"/>
      <c r="M8" s="38"/>
    </row>
    <row r="9" spans="1:16" ht="10.5" customHeight="1" thickBot="1" x14ac:dyDescent="0.6">
      <c r="A9" s="130"/>
      <c r="B9" s="130"/>
      <c r="C9" s="130"/>
      <c r="D9" s="130"/>
      <c r="E9" s="130"/>
      <c r="F9" s="130"/>
      <c r="G9" s="130"/>
    </row>
    <row r="10" spans="1:16" ht="15" hidden="1" thickBot="1" x14ac:dyDescent="0.55000000000000004"/>
    <row r="11" spans="1:16" ht="15" hidden="1" thickBot="1" x14ac:dyDescent="0.55000000000000004"/>
    <row r="12" spans="1:16" ht="24.75" customHeight="1" x14ac:dyDescent="0.5">
      <c r="A12" s="216" t="s">
        <v>97</v>
      </c>
      <c r="B12" s="218" t="s">
        <v>20</v>
      </c>
      <c r="C12" s="220" t="s">
        <v>42</v>
      </c>
      <c r="D12" s="222" t="s">
        <v>31</v>
      </c>
      <c r="E12" s="202" t="s">
        <v>21</v>
      </c>
      <c r="F12" s="203"/>
      <c r="G12" s="202" t="s">
        <v>22</v>
      </c>
      <c r="H12" s="203"/>
      <c r="I12" s="202" t="s">
        <v>23</v>
      </c>
      <c r="J12" s="203"/>
      <c r="K12" s="202" t="s">
        <v>24</v>
      </c>
      <c r="L12" s="203"/>
      <c r="M12" s="224" t="s">
        <v>18</v>
      </c>
    </row>
    <row r="13" spans="1:16" ht="46.5" customHeight="1" x14ac:dyDescent="0.5">
      <c r="A13" s="217"/>
      <c r="B13" s="219"/>
      <c r="C13" s="221"/>
      <c r="D13" s="223"/>
      <c r="E13" s="82" t="s">
        <v>115</v>
      </c>
      <c r="F13" s="83" t="s">
        <v>18</v>
      </c>
      <c r="G13" s="82" t="s">
        <v>104</v>
      </c>
      <c r="H13" s="83" t="s">
        <v>18</v>
      </c>
      <c r="I13" s="82" t="s">
        <v>104</v>
      </c>
      <c r="J13" s="83" t="s">
        <v>18</v>
      </c>
      <c r="K13" s="82" t="s">
        <v>104</v>
      </c>
      <c r="L13" s="83" t="s">
        <v>18</v>
      </c>
      <c r="M13" s="225"/>
    </row>
    <row r="14" spans="1:16" x14ac:dyDescent="0.5">
      <c r="A14" s="84" t="s">
        <v>1</v>
      </c>
      <c r="B14" s="200" t="s">
        <v>13</v>
      </c>
      <c r="C14" s="201"/>
      <c r="D14" s="85" t="s">
        <v>2</v>
      </c>
      <c r="E14" s="86" t="s">
        <v>3</v>
      </c>
      <c r="F14" s="87" t="s">
        <v>14</v>
      </c>
      <c r="G14" s="86" t="s">
        <v>4</v>
      </c>
      <c r="H14" s="85" t="s">
        <v>5</v>
      </c>
      <c r="I14" s="86" t="s">
        <v>6</v>
      </c>
      <c r="J14" s="87" t="s">
        <v>7</v>
      </c>
      <c r="K14" s="86" t="s">
        <v>8</v>
      </c>
      <c r="L14" s="88" t="s">
        <v>9</v>
      </c>
      <c r="M14" s="89" t="s">
        <v>10</v>
      </c>
    </row>
    <row r="15" spans="1:16" s="1" customFormat="1" ht="33.75" customHeight="1" x14ac:dyDescent="0.5">
      <c r="A15" s="94">
        <v>1</v>
      </c>
      <c r="B15" s="169" t="s">
        <v>60</v>
      </c>
      <c r="C15" s="169" t="s">
        <v>61</v>
      </c>
      <c r="D15" s="91" t="s">
        <v>11</v>
      </c>
      <c r="E15" s="91"/>
      <c r="F15" s="170">
        <v>200.58</v>
      </c>
      <c r="G15" s="92"/>
      <c r="H15" s="91">
        <f>F15*G15</f>
        <v>0</v>
      </c>
      <c r="I15" s="92">
        <f>'Unit Price Assumptions'!D19</f>
        <v>52.99</v>
      </c>
      <c r="J15" s="91">
        <f>F15*I15</f>
        <v>10628.73</v>
      </c>
      <c r="K15" s="92">
        <v>0</v>
      </c>
      <c r="L15" s="91">
        <f>F15*K15</f>
        <v>0</v>
      </c>
      <c r="M15" s="93">
        <f>H15+J15+L15</f>
        <v>10628.73</v>
      </c>
      <c r="O15" s="9"/>
      <c r="P15" s="10"/>
    </row>
    <row r="16" spans="1:16" x14ac:dyDescent="0.5">
      <c r="A16" s="94"/>
      <c r="B16" s="95" t="s">
        <v>57</v>
      </c>
      <c r="C16" s="95" t="s">
        <v>62</v>
      </c>
      <c r="D16" s="96" t="s">
        <v>11</v>
      </c>
      <c r="E16" s="97">
        <v>1.0149999999999999</v>
      </c>
      <c r="F16" s="91">
        <f>$F$15*E16</f>
        <v>203.59</v>
      </c>
      <c r="G16" s="92">
        <f>'Unit Price Assumptions'!C8</f>
        <v>49.61</v>
      </c>
      <c r="H16" s="91">
        <f t="shared" ref="H16:H30" si="0">F16*G16</f>
        <v>10100.1</v>
      </c>
      <c r="I16" s="92"/>
      <c r="J16" s="91">
        <f t="shared" ref="J16:J30" si="1">F16*I16</f>
        <v>0</v>
      </c>
      <c r="K16" s="92"/>
      <c r="L16" s="91">
        <f t="shared" ref="L16:L30" si="2">F16*K16</f>
        <v>0</v>
      </c>
      <c r="M16" s="93">
        <f t="shared" ref="M16:M30" si="3">H16+J16+L16</f>
        <v>10100.1</v>
      </c>
      <c r="O16" s="9"/>
      <c r="P16" s="6"/>
    </row>
    <row r="17" spans="1:16" x14ac:dyDescent="0.5">
      <c r="A17" s="94"/>
      <c r="B17" s="95" t="s">
        <v>29</v>
      </c>
      <c r="C17" s="95" t="s">
        <v>44</v>
      </c>
      <c r="D17" s="96" t="s">
        <v>15</v>
      </c>
      <c r="E17" s="97">
        <v>1.05</v>
      </c>
      <c r="F17" s="91">
        <f>$F$15*E17</f>
        <v>210.61</v>
      </c>
      <c r="G17" s="92">
        <f>'Unit Price Assumptions'!C12</f>
        <v>8.5500000000000007</v>
      </c>
      <c r="H17" s="91">
        <f t="shared" si="0"/>
        <v>1800.72</v>
      </c>
      <c r="I17" s="92"/>
      <c r="J17" s="91">
        <f t="shared" si="1"/>
        <v>0</v>
      </c>
      <c r="K17" s="92"/>
      <c r="L17" s="91">
        <f t="shared" si="2"/>
        <v>0</v>
      </c>
      <c r="M17" s="93">
        <f t="shared" si="3"/>
        <v>1800.72</v>
      </c>
      <c r="O17" s="9"/>
      <c r="P17" s="6"/>
    </row>
    <row r="18" spans="1:16" x14ac:dyDescent="0.5">
      <c r="A18" s="94"/>
      <c r="B18" s="95" t="s">
        <v>37</v>
      </c>
      <c r="C18" s="95" t="s">
        <v>43</v>
      </c>
      <c r="D18" s="96" t="s">
        <v>11</v>
      </c>
      <c r="E18" s="97">
        <v>4.4999999999999998E-2</v>
      </c>
      <c r="F18" s="91">
        <f>$F$15*E18</f>
        <v>9.0299999999999994</v>
      </c>
      <c r="G18" s="92">
        <f>'Unit Price Assumptions'!C13</f>
        <v>383.23</v>
      </c>
      <c r="H18" s="91">
        <f t="shared" si="0"/>
        <v>3460.57</v>
      </c>
      <c r="I18" s="92"/>
      <c r="J18" s="91">
        <f t="shared" si="1"/>
        <v>0</v>
      </c>
      <c r="K18" s="92"/>
      <c r="L18" s="91">
        <f t="shared" si="2"/>
        <v>0</v>
      </c>
      <c r="M18" s="93">
        <f t="shared" si="3"/>
        <v>3460.57</v>
      </c>
      <c r="P18" s="6"/>
    </row>
    <row r="19" spans="1:16" x14ac:dyDescent="0.5">
      <c r="A19" s="94"/>
      <c r="B19" s="95" t="s">
        <v>30</v>
      </c>
      <c r="C19" s="95" t="s">
        <v>45</v>
      </c>
      <c r="D19" s="96" t="s">
        <v>12</v>
      </c>
      <c r="E19" s="97">
        <v>2.5</v>
      </c>
      <c r="F19" s="91">
        <f>$F$15*E19</f>
        <v>501.45</v>
      </c>
      <c r="G19" s="92">
        <f>'Unit Price Assumptions'!C15</f>
        <v>1.44</v>
      </c>
      <c r="H19" s="91">
        <f t="shared" si="0"/>
        <v>722.09</v>
      </c>
      <c r="I19" s="92"/>
      <c r="J19" s="91">
        <f t="shared" si="1"/>
        <v>0</v>
      </c>
      <c r="K19" s="92"/>
      <c r="L19" s="91">
        <f t="shared" si="2"/>
        <v>0</v>
      </c>
      <c r="M19" s="93">
        <f t="shared" si="3"/>
        <v>722.09</v>
      </c>
      <c r="P19" s="6"/>
    </row>
    <row r="20" spans="1:16" x14ac:dyDescent="0.5">
      <c r="A20" s="94"/>
      <c r="B20" s="95" t="s">
        <v>38</v>
      </c>
      <c r="C20" s="95" t="s">
        <v>48</v>
      </c>
      <c r="D20" s="96" t="s">
        <v>35</v>
      </c>
      <c r="E20" s="97">
        <v>1.03</v>
      </c>
      <c r="F20" s="91">
        <f>E20*3.102</f>
        <v>3.2</v>
      </c>
      <c r="G20" s="92">
        <f>'Unit Price Assumptions'!C10</f>
        <v>393.22</v>
      </c>
      <c r="H20" s="91">
        <f t="shared" si="0"/>
        <v>1258.3</v>
      </c>
      <c r="I20" s="92">
        <f>'Unit Price Assumptions'!D10</f>
        <v>0</v>
      </c>
      <c r="J20" s="91">
        <f t="shared" si="1"/>
        <v>0</v>
      </c>
      <c r="K20" s="92"/>
      <c r="L20" s="91">
        <f t="shared" si="2"/>
        <v>0</v>
      </c>
      <c r="M20" s="93">
        <f t="shared" si="3"/>
        <v>1258.3</v>
      </c>
      <c r="P20" s="6"/>
    </row>
    <row r="21" spans="1:16" x14ac:dyDescent="0.5">
      <c r="A21" s="94"/>
      <c r="B21" s="95" t="s">
        <v>39</v>
      </c>
      <c r="C21" s="95" t="s">
        <v>46</v>
      </c>
      <c r="D21" s="96" t="s">
        <v>35</v>
      </c>
      <c r="E21" s="97">
        <v>1.03</v>
      </c>
      <c r="F21" s="91">
        <f>E21*20.226</f>
        <v>20.83</v>
      </c>
      <c r="G21" s="92">
        <f>'Unit Price Assumptions'!C11</f>
        <v>393.22</v>
      </c>
      <c r="H21" s="91">
        <f t="shared" si="0"/>
        <v>8190.77</v>
      </c>
      <c r="I21" s="92">
        <f>'Unit Price Assumptions'!D11</f>
        <v>0</v>
      </c>
      <c r="J21" s="91">
        <f t="shared" si="1"/>
        <v>0</v>
      </c>
      <c r="K21" s="92"/>
      <c r="L21" s="91">
        <f t="shared" si="2"/>
        <v>0</v>
      </c>
      <c r="M21" s="93">
        <f t="shared" si="3"/>
        <v>8190.77</v>
      </c>
    </row>
    <row r="22" spans="1:16" x14ac:dyDescent="0.5">
      <c r="A22" s="94"/>
      <c r="B22" s="95" t="s">
        <v>28</v>
      </c>
      <c r="C22" s="95" t="s">
        <v>47</v>
      </c>
      <c r="D22" s="96"/>
      <c r="E22" s="92">
        <v>0.16</v>
      </c>
      <c r="F22" s="91">
        <f>$F$15*E22</f>
        <v>32.090000000000003</v>
      </c>
      <c r="G22" s="92">
        <f>'Unit Price Assumptions'!C16</f>
        <v>26.35</v>
      </c>
      <c r="H22" s="91">
        <f t="shared" si="0"/>
        <v>845.57</v>
      </c>
      <c r="I22" s="92"/>
      <c r="J22" s="91">
        <f t="shared" si="1"/>
        <v>0</v>
      </c>
      <c r="K22" s="92"/>
      <c r="L22" s="91">
        <f t="shared" si="2"/>
        <v>0</v>
      </c>
      <c r="M22" s="93">
        <f t="shared" si="3"/>
        <v>845.57</v>
      </c>
    </row>
    <row r="23" spans="1:16" s="1" customFormat="1" ht="29.35" x14ac:dyDescent="0.5">
      <c r="A23" s="94">
        <v>2</v>
      </c>
      <c r="B23" s="169" t="s">
        <v>63</v>
      </c>
      <c r="C23" s="169" t="s">
        <v>64</v>
      </c>
      <c r="D23" s="91" t="s">
        <v>11</v>
      </c>
      <c r="E23" s="91"/>
      <c r="F23" s="170">
        <v>2.63</v>
      </c>
      <c r="G23" s="92"/>
      <c r="H23" s="91">
        <f t="shared" si="0"/>
        <v>0</v>
      </c>
      <c r="I23" s="92">
        <f>'Unit Price Assumptions'!D17</f>
        <v>47.95</v>
      </c>
      <c r="J23" s="91">
        <f t="shared" si="1"/>
        <v>126.11</v>
      </c>
      <c r="K23" s="92">
        <f>K15</f>
        <v>0</v>
      </c>
      <c r="L23" s="91">
        <f t="shared" si="2"/>
        <v>0</v>
      </c>
      <c r="M23" s="93">
        <f t="shared" si="3"/>
        <v>126.11</v>
      </c>
    </row>
    <row r="24" spans="1:16" x14ac:dyDescent="0.5">
      <c r="A24" s="94"/>
      <c r="B24" s="95" t="s">
        <v>57</v>
      </c>
      <c r="C24" s="131" t="s">
        <v>62</v>
      </c>
      <c r="D24" s="96" t="s">
        <v>11</v>
      </c>
      <c r="E24" s="97">
        <v>1.0149999999999999</v>
      </c>
      <c r="F24" s="91">
        <f>$F$23*E24</f>
        <v>2.67</v>
      </c>
      <c r="G24" s="92">
        <f>G16</f>
        <v>49.61</v>
      </c>
      <c r="H24" s="91">
        <f t="shared" si="0"/>
        <v>132.46</v>
      </c>
      <c r="I24" s="92"/>
      <c r="J24" s="91">
        <f t="shared" si="1"/>
        <v>0</v>
      </c>
      <c r="K24" s="92"/>
      <c r="L24" s="91">
        <f t="shared" si="2"/>
        <v>0</v>
      </c>
      <c r="M24" s="93">
        <f t="shared" si="3"/>
        <v>132.46</v>
      </c>
    </row>
    <row r="25" spans="1:16" x14ac:dyDescent="0.5">
      <c r="A25" s="94"/>
      <c r="B25" s="95" t="s">
        <v>29</v>
      </c>
      <c r="C25" s="131" t="s">
        <v>44</v>
      </c>
      <c r="D25" s="96" t="s">
        <v>15</v>
      </c>
      <c r="E25" s="97">
        <v>2.64</v>
      </c>
      <c r="F25" s="91">
        <f>$F$23*E25</f>
        <v>6.94</v>
      </c>
      <c r="G25" s="92">
        <f t="shared" ref="G25:G30" si="4">G17</f>
        <v>8.5500000000000007</v>
      </c>
      <c r="H25" s="91">
        <f t="shared" si="0"/>
        <v>59.34</v>
      </c>
      <c r="I25" s="92"/>
      <c r="J25" s="91">
        <f t="shared" si="1"/>
        <v>0</v>
      </c>
      <c r="K25" s="92"/>
      <c r="L25" s="91">
        <f t="shared" si="2"/>
        <v>0</v>
      </c>
      <c r="M25" s="93">
        <f t="shared" si="3"/>
        <v>59.34</v>
      </c>
    </row>
    <row r="26" spans="1:16" x14ac:dyDescent="0.5">
      <c r="A26" s="94"/>
      <c r="B26" s="95" t="s">
        <v>37</v>
      </c>
      <c r="C26" s="95" t="s">
        <v>43</v>
      </c>
      <c r="D26" s="96" t="s">
        <v>11</v>
      </c>
      <c r="E26" s="97">
        <v>0.2</v>
      </c>
      <c r="F26" s="91">
        <f>$F$23*E26</f>
        <v>0.53</v>
      </c>
      <c r="G26" s="92">
        <f t="shared" si="4"/>
        <v>383.23</v>
      </c>
      <c r="H26" s="91">
        <f t="shared" si="0"/>
        <v>203.11</v>
      </c>
      <c r="I26" s="92"/>
      <c r="J26" s="91">
        <f t="shared" si="1"/>
        <v>0</v>
      </c>
      <c r="K26" s="92"/>
      <c r="L26" s="91">
        <f t="shared" si="2"/>
        <v>0</v>
      </c>
      <c r="M26" s="93">
        <f t="shared" si="3"/>
        <v>203.11</v>
      </c>
    </row>
    <row r="27" spans="1:16" x14ac:dyDescent="0.5">
      <c r="A27" s="94"/>
      <c r="B27" s="95" t="s">
        <v>30</v>
      </c>
      <c r="C27" s="131" t="s">
        <v>45</v>
      </c>
      <c r="D27" s="96" t="s">
        <v>12</v>
      </c>
      <c r="E27" s="97">
        <v>2.5</v>
      </c>
      <c r="F27" s="91">
        <f>$F$23*E27</f>
        <v>6.58</v>
      </c>
      <c r="G27" s="92">
        <f t="shared" si="4"/>
        <v>1.44</v>
      </c>
      <c r="H27" s="91">
        <f t="shared" si="0"/>
        <v>9.48</v>
      </c>
      <c r="I27" s="92"/>
      <c r="J27" s="91">
        <f t="shared" si="1"/>
        <v>0</v>
      </c>
      <c r="K27" s="92"/>
      <c r="L27" s="91">
        <f t="shared" si="2"/>
        <v>0</v>
      </c>
      <c r="M27" s="93">
        <f t="shared" si="3"/>
        <v>9.48</v>
      </c>
    </row>
    <row r="28" spans="1:16" x14ac:dyDescent="0.5">
      <c r="A28" s="94"/>
      <c r="B28" s="95" t="s">
        <v>38</v>
      </c>
      <c r="C28" s="131" t="s">
        <v>48</v>
      </c>
      <c r="D28" s="96" t="s">
        <v>35</v>
      </c>
      <c r="E28" s="97">
        <v>1.03</v>
      </c>
      <c r="F28" s="91">
        <f>E28*0.117</f>
        <v>0.12</v>
      </c>
      <c r="G28" s="92">
        <f t="shared" si="4"/>
        <v>393.22</v>
      </c>
      <c r="H28" s="91">
        <f t="shared" si="0"/>
        <v>47.19</v>
      </c>
      <c r="I28" s="92">
        <f>I20</f>
        <v>0</v>
      </c>
      <c r="J28" s="91">
        <f t="shared" si="1"/>
        <v>0</v>
      </c>
      <c r="K28" s="92"/>
      <c r="L28" s="91">
        <f t="shared" si="2"/>
        <v>0</v>
      </c>
      <c r="M28" s="93">
        <f t="shared" si="3"/>
        <v>47.19</v>
      </c>
    </row>
    <row r="29" spans="1:16" x14ac:dyDescent="0.5">
      <c r="A29" s="94"/>
      <c r="B29" s="95" t="s">
        <v>39</v>
      </c>
      <c r="C29" s="131" t="s">
        <v>46</v>
      </c>
      <c r="D29" s="96" t="s">
        <v>35</v>
      </c>
      <c r="E29" s="97">
        <v>1.03</v>
      </c>
      <c r="F29" s="91">
        <f>E29*0.255</f>
        <v>0.26</v>
      </c>
      <c r="G29" s="92">
        <f t="shared" si="4"/>
        <v>393.22</v>
      </c>
      <c r="H29" s="91">
        <f t="shared" si="0"/>
        <v>102.24</v>
      </c>
      <c r="I29" s="92">
        <f>I21</f>
        <v>0</v>
      </c>
      <c r="J29" s="91">
        <f t="shared" si="1"/>
        <v>0</v>
      </c>
      <c r="K29" s="92"/>
      <c r="L29" s="91">
        <f t="shared" si="2"/>
        <v>0</v>
      </c>
      <c r="M29" s="93">
        <f t="shared" si="3"/>
        <v>102.24</v>
      </c>
    </row>
    <row r="30" spans="1:16" ht="15" thickBot="1" x14ac:dyDescent="0.55000000000000004">
      <c r="A30" s="132"/>
      <c r="B30" s="95" t="s">
        <v>28</v>
      </c>
      <c r="C30" s="131" t="s">
        <v>47</v>
      </c>
      <c r="D30" s="96"/>
      <c r="E30" s="92">
        <v>0.13</v>
      </c>
      <c r="F30" s="91">
        <f>$F$23*E30</f>
        <v>0.34</v>
      </c>
      <c r="G30" s="92">
        <f t="shared" si="4"/>
        <v>26.35</v>
      </c>
      <c r="H30" s="91">
        <f t="shared" si="0"/>
        <v>8.9600000000000009</v>
      </c>
      <c r="I30" s="92"/>
      <c r="J30" s="91">
        <f t="shared" si="1"/>
        <v>0</v>
      </c>
      <c r="K30" s="92"/>
      <c r="L30" s="91">
        <f t="shared" si="2"/>
        <v>0</v>
      </c>
      <c r="M30" s="93">
        <f t="shared" si="3"/>
        <v>8.9600000000000009</v>
      </c>
    </row>
    <row r="31" spans="1:16" ht="15" thickBot="1" x14ac:dyDescent="0.55000000000000004">
      <c r="B31" s="77"/>
      <c r="C31" s="77"/>
      <c r="D31" s="98"/>
      <c r="E31" s="77"/>
      <c r="F31" s="133"/>
      <c r="G31" s="75"/>
      <c r="H31" s="101">
        <f>SUM(H15:H30)</f>
        <v>26940.9</v>
      </c>
      <c r="I31" s="102"/>
      <c r="J31" s="103">
        <f>SUM(J15:J30)</f>
        <v>10754.84</v>
      </c>
      <c r="K31" s="102"/>
      <c r="L31" s="103">
        <f>SUM(L15:L30)</f>
        <v>0</v>
      </c>
      <c r="M31" s="134">
        <f>SUM(M15:M30)</f>
        <v>37695.74</v>
      </c>
    </row>
    <row r="32" spans="1:16" s="2" customFormat="1" ht="15" customHeight="1" x14ac:dyDescent="0.5">
      <c r="A32" s="74"/>
      <c r="B32" s="74"/>
      <c r="C32" s="74"/>
      <c r="D32" s="74"/>
      <c r="E32" s="74"/>
      <c r="F32" s="105"/>
      <c r="G32" s="106"/>
      <c r="H32" s="208" t="s">
        <v>26</v>
      </c>
      <c r="I32" s="209"/>
      <c r="J32" s="107"/>
      <c r="K32" s="116">
        <v>0.11</v>
      </c>
      <c r="L32" s="107"/>
      <c r="M32" s="108">
        <f>M31*K32</f>
        <v>4146.53</v>
      </c>
      <c r="N32" s="5"/>
    </row>
    <row r="33" spans="1:14" s="2" customFormat="1" ht="15" customHeight="1" thickBot="1" x14ac:dyDescent="0.55000000000000004">
      <c r="A33" s="74"/>
      <c r="B33" s="74"/>
      <c r="C33" s="74"/>
      <c r="D33" s="109"/>
      <c r="E33" s="110"/>
      <c r="F33" s="105"/>
      <c r="G33" s="105"/>
      <c r="H33" s="210" t="s">
        <v>27</v>
      </c>
      <c r="I33" s="211"/>
      <c r="J33" s="111"/>
      <c r="K33" s="112" t="str">
        <f>K35</f>
        <v>USD</v>
      </c>
      <c r="L33" s="111"/>
      <c r="M33" s="113">
        <f>M31+M32</f>
        <v>41842.269999999997</v>
      </c>
      <c r="N33" s="5"/>
    </row>
    <row r="34" spans="1:14" s="2" customFormat="1" x14ac:dyDescent="0.5">
      <c r="A34" s="74"/>
      <c r="B34" s="74"/>
      <c r="C34" s="74"/>
      <c r="D34" s="109"/>
      <c r="E34" s="110"/>
      <c r="F34" s="105"/>
      <c r="G34" s="106"/>
      <c r="H34" s="208" t="s">
        <v>67</v>
      </c>
      <c r="I34" s="209"/>
      <c r="J34" s="107"/>
      <c r="K34" s="116">
        <v>0.09</v>
      </c>
      <c r="L34" s="107"/>
      <c r="M34" s="108">
        <f>M33*K34</f>
        <v>3765.8</v>
      </c>
      <c r="N34" s="5"/>
    </row>
    <row r="35" spans="1:14" s="2" customFormat="1" ht="15" thickBot="1" x14ac:dyDescent="0.55000000000000004">
      <c r="A35" s="74"/>
      <c r="B35" s="74"/>
      <c r="C35" s="74"/>
      <c r="D35" s="109"/>
      <c r="E35" s="110"/>
      <c r="F35" s="114"/>
      <c r="G35" s="106"/>
      <c r="H35" s="210" t="s">
        <v>27</v>
      </c>
      <c r="I35" s="211"/>
      <c r="J35" s="111"/>
      <c r="K35" s="115" t="s">
        <v>19</v>
      </c>
      <c r="L35" s="111"/>
      <c r="M35" s="113">
        <f>M33+M34</f>
        <v>45608.07</v>
      </c>
      <c r="N35" s="5"/>
    </row>
    <row r="36" spans="1:14" s="2" customFormat="1" x14ac:dyDescent="0.5">
      <c r="A36" s="74"/>
      <c r="B36" s="74"/>
      <c r="C36" s="74"/>
      <c r="D36" s="74"/>
      <c r="E36" s="74"/>
      <c r="F36" s="74"/>
      <c r="G36" s="106"/>
      <c r="H36" s="204" t="s">
        <v>33</v>
      </c>
      <c r="I36" s="205"/>
      <c r="J36" s="107"/>
      <c r="K36" s="116">
        <v>0.18</v>
      </c>
      <c r="L36" s="107"/>
      <c r="M36" s="108">
        <f>M35*K36</f>
        <v>8209.4500000000007</v>
      </c>
      <c r="N36" s="5"/>
    </row>
    <row r="37" spans="1:14" s="2" customFormat="1" ht="15" thickBot="1" x14ac:dyDescent="0.55000000000000004">
      <c r="A37" s="74"/>
      <c r="B37" s="74"/>
      <c r="C37" s="74"/>
      <c r="D37" s="74"/>
      <c r="E37" s="74"/>
      <c r="F37" s="74"/>
      <c r="G37" s="106"/>
      <c r="H37" s="206" t="s">
        <v>25</v>
      </c>
      <c r="I37" s="207"/>
      <c r="J37" s="111"/>
      <c r="K37" s="117" t="s">
        <v>19</v>
      </c>
      <c r="L37" s="111"/>
      <c r="M37" s="113">
        <f>M35+M36</f>
        <v>53817.52</v>
      </c>
      <c r="N37" s="5"/>
    </row>
  </sheetData>
  <mergeCells count="22">
    <mergeCell ref="A8:G8"/>
    <mergeCell ref="K2:M2"/>
    <mergeCell ref="D3:I3"/>
    <mergeCell ref="D4:I4"/>
    <mergeCell ref="D5:I5"/>
    <mergeCell ref="A7:G7"/>
    <mergeCell ref="A12:A13"/>
    <mergeCell ref="B12:B13"/>
    <mergeCell ref="C12:C13"/>
    <mergeCell ref="D12:D13"/>
    <mergeCell ref="E12:F12"/>
    <mergeCell ref="I12:J12"/>
    <mergeCell ref="K12:L12"/>
    <mergeCell ref="M12:M13"/>
    <mergeCell ref="B14:C14"/>
    <mergeCell ref="G12:H12"/>
    <mergeCell ref="H37:I37"/>
    <mergeCell ref="H32:I32"/>
    <mergeCell ref="H33:I33"/>
    <mergeCell ref="H34:I34"/>
    <mergeCell ref="H35:I35"/>
    <mergeCell ref="H36:I36"/>
  </mergeCells>
  <pageMargins left="0.45" right="0.2" top="0.5" bottom="0.2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4" sqref="M4"/>
    </sheetView>
  </sheetViews>
  <sheetFormatPr defaultColWidth="8.87890625" defaultRowHeight="14.7" x14ac:dyDescent="0.5"/>
  <cols>
    <col min="1" max="1" width="4" style="79" customWidth="1"/>
    <col min="2" max="2" width="35.703125" style="81" customWidth="1"/>
    <col min="3" max="3" width="38.5859375" style="81" customWidth="1"/>
    <col min="4" max="4" width="5.703125" style="79" bestFit="1" customWidth="1"/>
    <col min="5" max="5" width="11.87890625" style="79" customWidth="1"/>
    <col min="6" max="6" width="9.41015625" style="79" customWidth="1"/>
    <col min="7" max="7" width="8.703125" style="79" customWidth="1"/>
    <col min="8" max="8" width="12" style="79" customWidth="1"/>
    <col min="9" max="9" width="8.703125" style="79" customWidth="1"/>
    <col min="10" max="10" width="9.87890625" style="79" bestFit="1" customWidth="1"/>
    <col min="11" max="11" width="11.5859375" style="79" customWidth="1"/>
    <col min="12" max="12" width="14.703125" style="79" customWidth="1"/>
    <col min="13" max="13" width="13.703125" style="39" customWidth="1"/>
    <col min="14" max="15" width="8.87890625" style="79"/>
    <col min="16" max="16384" width="8.87890625" style="4"/>
  </cols>
  <sheetData>
    <row r="1" spans="1:16" x14ac:dyDescent="0.5">
      <c r="A1" s="77"/>
      <c r="B1" s="77"/>
      <c r="C1" s="77"/>
      <c r="D1" s="98"/>
      <c r="E1" s="77"/>
      <c r="F1" s="77"/>
      <c r="G1" s="75"/>
      <c r="H1" s="77"/>
      <c r="I1" s="75"/>
      <c r="J1" s="77"/>
      <c r="K1" s="77"/>
      <c r="L1" s="77"/>
      <c r="M1" s="122"/>
    </row>
    <row r="2" spans="1:16" ht="21" x14ac:dyDescent="0.55000000000000004">
      <c r="A2" s="98"/>
      <c r="B2" s="43" t="s">
        <v>138</v>
      </c>
      <c r="C2" s="135" t="s">
        <v>16</v>
      </c>
      <c r="D2" s="98"/>
      <c r="E2" s="77"/>
      <c r="F2" s="77"/>
      <c r="G2" s="75"/>
      <c r="H2" s="77"/>
      <c r="I2" s="75"/>
      <c r="J2" s="77"/>
      <c r="K2" s="212" t="s">
        <v>18</v>
      </c>
      <c r="L2" s="213"/>
      <c r="M2" s="214"/>
    </row>
    <row r="3" spans="1:16" ht="15" customHeight="1" x14ac:dyDescent="0.5">
      <c r="A3" s="98"/>
      <c r="B3" s="77"/>
      <c r="C3" s="77"/>
      <c r="D3" s="226"/>
      <c r="E3" s="226"/>
      <c r="F3" s="226"/>
      <c r="G3" s="226"/>
      <c r="H3" s="226"/>
      <c r="I3" s="226"/>
      <c r="J3" s="77"/>
      <c r="K3" s="123" t="s">
        <v>19</v>
      </c>
      <c r="L3" s="123" t="s">
        <v>41</v>
      </c>
      <c r="M3" s="92" t="str">
        <f ca="1">'+10.870'!M3</f>
        <v>US $  Rate</v>
      </c>
    </row>
    <row r="4" spans="1:16" ht="16.5" customHeight="1" x14ac:dyDescent="0.5">
      <c r="A4" s="77"/>
      <c r="B4" s="155" t="s">
        <v>70</v>
      </c>
      <c r="C4" s="77"/>
      <c r="D4" s="226"/>
      <c r="E4" s="226"/>
      <c r="F4" s="226"/>
      <c r="G4" s="226"/>
      <c r="H4" s="226"/>
      <c r="I4" s="226"/>
      <c r="J4" s="77"/>
      <c r="K4" s="34">
        <f>M25</f>
        <v>4596.87</v>
      </c>
      <c r="L4" s="171">
        <f>K4*M4</f>
        <v>11385.07</v>
      </c>
      <c r="M4" s="189">
        <f>'Unit Price Assumptions'!D4</f>
        <v>2.4767000000000001</v>
      </c>
    </row>
    <row r="5" spans="1:16" x14ac:dyDescent="0.5">
      <c r="A5" s="77"/>
      <c r="B5" s="77"/>
      <c r="C5" s="77"/>
      <c r="D5" s="226"/>
      <c r="E5" s="226"/>
      <c r="F5" s="226"/>
      <c r="G5" s="226"/>
      <c r="H5" s="226"/>
      <c r="I5" s="226"/>
      <c r="J5" s="77"/>
      <c r="K5" s="78"/>
      <c r="L5" s="78"/>
      <c r="M5" s="38"/>
    </row>
    <row r="6" spans="1:16" x14ac:dyDescent="0.5">
      <c r="A6" s="77"/>
      <c r="B6" s="77"/>
      <c r="C6" s="77"/>
      <c r="D6" s="125"/>
      <c r="E6" s="125"/>
      <c r="F6" s="125"/>
      <c r="G6" s="125"/>
      <c r="H6" s="125"/>
      <c r="I6" s="125"/>
      <c r="J6" s="77"/>
      <c r="K6" s="78"/>
      <c r="L6" s="78"/>
      <c r="M6" s="38"/>
    </row>
    <row r="7" spans="1:16" ht="15" thickBot="1" x14ac:dyDescent="0.55000000000000004">
      <c r="A7" s="77"/>
      <c r="B7" s="77"/>
      <c r="C7" s="77"/>
      <c r="D7" s="125"/>
      <c r="E7" s="125"/>
      <c r="F7" s="125"/>
      <c r="G7" s="125"/>
      <c r="H7" s="125"/>
      <c r="I7" s="125"/>
      <c r="J7" s="77"/>
      <c r="K7" s="78"/>
      <c r="L7" s="78"/>
      <c r="M7" s="38"/>
    </row>
    <row r="8" spans="1:16" ht="27" customHeight="1" x14ac:dyDescent="0.5">
      <c r="A8" s="216" t="s">
        <v>97</v>
      </c>
      <c r="B8" s="218" t="s">
        <v>20</v>
      </c>
      <c r="C8" s="220" t="s">
        <v>42</v>
      </c>
      <c r="D8" s="222" t="s">
        <v>31</v>
      </c>
      <c r="E8" s="202" t="s">
        <v>21</v>
      </c>
      <c r="F8" s="203"/>
      <c r="G8" s="202" t="s">
        <v>22</v>
      </c>
      <c r="H8" s="203"/>
      <c r="I8" s="202" t="s">
        <v>23</v>
      </c>
      <c r="J8" s="203"/>
      <c r="K8" s="202" t="s">
        <v>24</v>
      </c>
      <c r="L8" s="203"/>
      <c r="M8" s="224" t="s">
        <v>18</v>
      </c>
    </row>
    <row r="9" spans="1:16" ht="45.75" customHeight="1" x14ac:dyDescent="0.5">
      <c r="A9" s="217"/>
      <c r="B9" s="219"/>
      <c r="C9" s="221"/>
      <c r="D9" s="223"/>
      <c r="E9" s="82" t="s">
        <v>115</v>
      </c>
      <c r="F9" s="83" t="s">
        <v>18</v>
      </c>
      <c r="G9" s="82" t="s">
        <v>104</v>
      </c>
      <c r="H9" s="83" t="s">
        <v>18</v>
      </c>
      <c r="I9" s="82" t="s">
        <v>104</v>
      </c>
      <c r="J9" s="83" t="s">
        <v>18</v>
      </c>
      <c r="K9" s="82" t="s">
        <v>104</v>
      </c>
      <c r="L9" s="83" t="s">
        <v>18</v>
      </c>
      <c r="M9" s="225"/>
    </row>
    <row r="10" spans="1:16" x14ac:dyDescent="0.5">
      <c r="A10" s="84" t="s">
        <v>1</v>
      </c>
      <c r="B10" s="200" t="s">
        <v>13</v>
      </c>
      <c r="C10" s="201"/>
      <c r="D10" s="87" t="s">
        <v>2</v>
      </c>
      <c r="E10" s="86" t="s">
        <v>3</v>
      </c>
      <c r="F10" s="87" t="s">
        <v>14</v>
      </c>
      <c r="G10" s="86" t="s">
        <v>4</v>
      </c>
      <c r="H10" s="85" t="s">
        <v>5</v>
      </c>
      <c r="I10" s="86" t="s">
        <v>6</v>
      </c>
      <c r="J10" s="87" t="s">
        <v>7</v>
      </c>
      <c r="K10" s="86" t="s">
        <v>8</v>
      </c>
      <c r="L10" s="88" t="s">
        <v>9</v>
      </c>
      <c r="M10" s="154" t="s">
        <v>10</v>
      </c>
      <c r="N10" s="104"/>
    </row>
    <row r="11" spans="1:16" s="1" customFormat="1" ht="29.35" x14ac:dyDescent="0.5">
      <c r="A11" s="90">
        <v>1</v>
      </c>
      <c r="B11" s="169" t="s">
        <v>60</v>
      </c>
      <c r="C11" s="169" t="s">
        <v>61</v>
      </c>
      <c r="D11" s="91" t="s">
        <v>11</v>
      </c>
      <c r="E11" s="91"/>
      <c r="F11" s="170">
        <f>17.9</f>
        <v>17.899999999999999</v>
      </c>
      <c r="G11" s="92"/>
      <c r="H11" s="91">
        <f>F11*G11</f>
        <v>0</v>
      </c>
      <c r="I11" s="92">
        <f>'Unit Price Assumptions'!D19</f>
        <v>52.99</v>
      </c>
      <c r="J11" s="91">
        <f>F11*I11</f>
        <v>948.52</v>
      </c>
      <c r="K11" s="92">
        <v>0</v>
      </c>
      <c r="L11" s="91">
        <f>F11*K11</f>
        <v>0</v>
      </c>
      <c r="M11" s="93">
        <f>H11+J11+L11</f>
        <v>948.52</v>
      </c>
      <c r="N11" s="75"/>
      <c r="O11" s="173"/>
      <c r="P11" s="10"/>
    </row>
    <row r="12" spans="1:16" x14ac:dyDescent="0.5">
      <c r="A12" s="94"/>
      <c r="B12" s="95" t="s">
        <v>57</v>
      </c>
      <c r="C12" s="95" t="s">
        <v>62</v>
      </c>
      <c r="D12" s="96" t="s">
        <v>11</v>
      </c>
      <c r="E12" s="97">
        <v>1.0149999999999999</v>
      </c>
      <c r="F12" s="91">
        <f>$F$11*E12</f>
        <v>18.170000000000002</v>
      </c>
      <c r="G12" s="92">
        <f>'Unit Price Assumptions'!C8</f>
        <v>49.61</v>
      </c>
      <c r="H12" s="91">
        <f t="shared" ref="H12:H18" si="0">F12*G12</f>
        <v>901.41</v>
      </c>
      <c r="I12" s="92"/>
      <c r="J12" s="91">
        <f t="shared" ref="J12:J18" si="1">F12*I12</f>
        <v>0</v>
      </c>
      <c r="K12" s="92"/>
      <c r="L12" s="91">
        <f t="shared" ref="L12:L18" si="2">F12*K12</f>
        <v>0</v>
      </c>
      <c r="M12" s="93">
        <f t="shared" ref="M12:M18" si="3">H12+J12+L12</f>
        <v>901.41</v>
      </c>
      <c r="O12" s="173"/>
      <c r="P12" s="6"/>
    </row>
    <row r="13" spans="1:16" x14ac:dyDescent="0.5">
      <c r="A13" s="94"/>
      <c r="B13" s="95" t="s">
        <v>29</v>
      </c>
      <c r="C13" s="95" t="s">
        <v>44</v>
      </c>
      <c r="D13" s="96" t="s">
        <v>15</v>
      </c>
      <c r="E13" s="97">
        <v>1.05</v>
      </c>
      <c r="F13" s="91">
        <f>$F$11*E13</f>
        <v>18.8</v>
      </c>
      <c r="G13" s="92">
        <f>'Unit Price Assumptions'!C12</f>
        <v>8.5500000000000007</v>
      </c>
      <c r="H13" s="91">
        <f t="shared" si="0"/>
        <v>160.74</v>
      </c>
      <c r="I13" s="92"/>
      <c r="J13" s="91">
        <f t="shared" si="1"/>
        <v>0</v>
      </c>
      <c r="K13" s="92"/>
      <c r="L13" s="91">
        <f t="shared" si="2"/>
        <v>0</v>
      </c>
      <c r="M13" s="93">
        <f t="shared" si="3"/>
        <v>160.74</v>
      </c>
      <c r="O13" s="173"/>
      <c r="P13" s="6"/>
    </row>
    <row r="14" spans="1:16" x14ac:dyDescent="0.5">
      <c r="A14" s="94"/>
      <c r="B14" s="95" t="s">
        <v>37</v>
      </c>
      <c r="C14" s="95" t="s">
        <v>43</v>
      </c>
      <c r="D14" s="96" t="s">
        <v>11</v>
      </c>
      <c r="E14" s="97">
        <v>4.4999999999999998E-2</v>
      </c>
      <c r="F14" s="91">
        <f>$F$11*E14</f>
        <v>0.81</v>
      </c>
      <c r="G14" s="92">
        <f>'Unit Price Assumptions'!C13</f>
        <v>383.23</v>
      </c>
      <c r="H14" s="91">
        <f t="shared" si="0"/>
        <v>310.42</v>
      </c>
      <c r="I14" s="92"/>
      <c r="J14" s="91">
        <f t="shared" si="1"/>
        <v>0</v>
      </c>
      <c r="K14" s="92"/>
      <c r="L14" s="91">
        <f t="shared" si="2"/>
        <v>0</v>
      </c>
      <c r="M14" s="93">
        <f t="shared" si="3"/>
        <v>310.42</v>
      </c>
      <c r="P14" s="6"/>
    </row>
    <row r="15" spans="1:16" x14ac:dyDescent="0.5">
      <c r="A15" s="94"/>
      <c r="B15" s="95" t="s">
        <v>30</v>
      </c>
      <c r="C15" s="95" t="s">
        <v>45</v>
      </c>
      <c r="D15" s="96" t="s">
        <v>12</v>
      </c>
      <c r="E15" s="97">
        <v>2.5</v>
      </c>
      <c r="F15" s="91">
        <f>$F$11*E15</f>
        <v>44.75</v>
      </c>
      <c r="G15" s="92">
        <f>'Unit Price Assumptions'!C15</f>
        <v>1.44</v>
      </c>
      <c r="H15" s="91">
        <f t="shared" si="0"/>
        <v>64.44</v>
      </c>
      <c r="I15" s="92"/>
      <c r="J15" s="91">
        <f t="shared" si="1"/>
        <v>0</v>
      </c>
      <c r="K15" s="92"/>
      <c r="L15" s="91">
        <f t="shared" si="2"/>
        <v>0</v>
      </c>
      <c r="M15" s="93">
        <f t="shared" si="3"/>
        <v>64.44</v>
      </c>
      <c r="P15" s="6"/>
    </row>
    <row r="16" spans="1:16" x14ac:dyDescent="0.5">
      <c r="A16" s="94"/>
      <c r="B16" s="95" t="s">
        <v>38</v>
      </c>
      <c r="C16" s="95" t="s">
        <v>48</v>
      </c>
      <c r="D16" s="96" t="s">
        <v>35</v>
      </c>
      <c r="E16" s="97">
        <v>1.03</v>
      </c>
      <c r="F16" s="91">
        <f>E16*0.344</f>
        <v>0.35</v>
      </c>
      <c r="G16" s="92">
        <f>'Unit Price Assumptions'!C10</f>
        <v>393.22</v>
      </c>
      <c r="H16" s="91">
        <f t="shared" si="0"/>
        <v>137.63</v>
      </c>
      <c r="I16" s="92">
        <f>'Unit Price Assumptions'!D10</f>
        <v>0</v>
      </c>
      <c r="J16" s="91">
        <f t="shared" si="1"/>
        <v>0</v>
      </c>
      <c r="K16" s="92"/>
      <c r="L16" s="91">
        <f t="shared" si="2"/>
        <v>0</v>
      </c>
      <c r="M16" s="93">
        <f t="shared" si="3"/>
        <v>137.63</v>
      </c>
      <c r="P16" s="6"/>
    </row>
    <row r="17" spans="1:15" x14ac:dyDescent="0.5">
      <c r="A17" s="94"/>
      <c r="B17" s="95" t="s">
        <v>39</v>
      </c>
      <c r="C17" s="95" t="s">
        <v>46</v>
      </c>
      <c r="D17" s="96" t="s">
        <v>35</v>
      </c>
      <c r="E17" s="97">
        <v>1.03</v>
      </c>
      <c r="F17" s="91">
        <f>E17*1.531</f>
        <v>1.58</v>
      </c>
      <c r="G17" s="92">
        <f>'Unit Price Assumptions'!C11</f>
        <v>393.22</v>
      </c>
      <c r="H17" s="91">
        <f t="shared" si="0"/>
        <v>621.29</v>
      </c>
      <c r="I17" s="92">
        <f>'Unit Price Assumptions'!D11</f>
        <v>0</v>
      </c>
      <c r="J17" s="91">
        <f t="shared" si="1"/>
        <v>0</v>
      </c>
      <c r="K17" s="92"/>
      <c r="L17" s="91">
        <f t="shared" si="2"/>
        <v>0</v>
      </c>
      <c r="M17" s="93">
        <f t="shared" si="3"/>
        <v>621.29</v>
      </c>
    </row>
    <row r="18" spans="1:15" ht="15" thickBot="1" x14ac:dyDescent="0.55000000000000004">
      <c r="A18" s="94"/>
      <c r="B18" s="95" t="s">
        <v>28</v>
      </c>
      <c r="C18" s="95" t="s">
        <v>47</v>
      </c>
      <c r="D18" s="96"/>
      <c r="E18" s="92">
        <v>0.16</v>
      </c>
      <c r="F18" s="91">
        <f>$F$11*E18</f>
        <v>2.86</v>
      </c>
      <c r="G18" s="92">
        <f>'Unit Price Assumptions'!C16</f>
        <v>26.35</v>
      </c>
      <c r="H18" s="91">
        <f t="shared" si="0"/>
        <v>75.36</v>
      </c>
      <c r="I18" s="92"/>
      <c r="J18" s="91">
        <f t="shared" si="1"/>
        <v>0</v>
      </c>
      <c r="K18" s="92"/>
      <c r="L18" s="91">
        <f t="shared" si="2"/>
        <v>0</v>
      </c>
      <c r="M18" s="93">
        <f t="shared" si="3"/>
        <v>75.36</v>
      </c>
    </row>
    <row r="19" spans="1:15" ht="15" thickBot="1" x14ac:dyDescent="0.55000000000000004">
      <c r="B19" s="77"/>
      <c r="C19" s="77"/>
      <c r="D19" s="98"/>
      <c r="E19" s="77"/>
      <c r="F19" s="133"/>
      <c r="G19" s="75"/>
      <c r="H19" s="101">
        <f>SUM(H11:H18)</f>
        <v>2271.29</v>
      </c>
      <c r="I19" s="102"/>
      <c r="J19" s="103">
        <f>SUM(J11:J18)</f>
        <v>948.52</v>
      </c>
      <c r="K19" s="102"/>
      <c r="L19" s="103">
        <f>SUM(L11:L18)</f>
        <v>0</v>
      </c>
      <c r="M19" s="134">
        <f>SUM(M11:M18)</f>
        <v>3219.81</v>
      </c>
    </row>
    <row r="20" spans="1:15" s="2" customFormat="1" ht="15" customHeight="1" x14ac:dyDescent="0.5">
      <c r="A20" s="74"/>
      <c r="B20" s="74"/>
      <c r="C20" s="74"/>
      <c r="D20" s="74"/>
      <c r="E20" s="74"/>
      <c r="F20" s="105"/>
      <c r="G20" s="106"/>
      <c r="H20" s="208" t="s">
        <v>26</v>
      </c>
      <c r="I20" s="209"/>
      <c r="J20" s="107"/>
      <c r="K20" s="116">
        <v>0.11</v>
      </c>
      <c r="L20" s="107"/>
      <c r="M20" s="108">
        <f>M19*K20</f>
        <v>354.18</v>
      </c>
      <c r="N20" s="74"/>
      <c r="O20" s="74"/>
    </row>
    <row r="21" spans="1:15" s="2" customFormat="1" ht="15" customHeight="1" thickBot="1" x14ac:dyDescent="0.55000000000000004">
      <c r="A21" s="74"/>
      <c r="B21" s="74"/>
      <c r="C21" s="74"/>
      <c r="D21" s="109"/>
      <c r="E21" s="110"/>
      <c r="F21" s="105"/>
      <c r="G21" s="105"/>
      <c r="H21" s="210" t="s">
        <v>27</v>
      </c>
      <c r="I21" s="211"/>
      <c r="J21" s="111"/>
      <c r="K21" s="112" t="str">
        <f>K23</f>
        <v>USD</v>
      </c>
      <c r="L21" s="111"/>
      <c r="M21" s="113">
        <f>M19+M20</f>
        <v>3573.99</v>
      </c>
      <c r="N21" s="74"/>
      <c r="O21" s="74"/>
    </row>
    <row r="22" spans="1:15" s="2" customFormat="1" x14ac:dyDescent="0.5">
      <c r="A22" s="74"/>
      <c r="B22" s="74"/>
      <c r="C22" s="74"/>
      <c r="D22" s="109"/>
      <c r="E22" s="110"/>
      <c r="F22" s="105"/>
      <c r="G22" s="106"/>
      <c r="H22" s="208" t="s">
        <v>67</v>
      </c>
      <c r="I22" s="209"/>
      <c r="J22" s="107"/>
      <c r="K22" s="116">
        <v>0.09</v>
      </c>
      <c r="L22" s="107"/>
      <c r="M22" s="108">
        <f>M21*K22</f>
        <v>321.66000000000003</v>
      </c>
      <c r="N22" s="74"/>
      <c r="O22" s="74"/>
    </row>
    <row r="23" spans="1:15" s="2" customFormat="1" ht="15" thickBot="1" x14ac:dyDescent="0.55000000000000004">
      <c r="A23" s="74"/>
      <c r="B23" s="74"/>
      <c r="C23" s="74"/>
      <c r="D23" s="109"/>
      <c r="E23" s="110"/>
      <c r="F23" s="114"/>
      <c r="G23" s="106"/>
      <c r="H23" s="210" t="s">
        <v>27</v>
      </c>
      <c r="I23" s="211"/>
      <c r="J23" s="111"/>
      <c r="K23" s="115" t="s">
        <v>19</v>
      </c>
      <c r="L23" s="111"/>
      <c r="M23" s="113">
        <f>M21+M22</f>
        <v>3895.65</v>
      </c>
      <c r="N23" s="74"/>
      <c r="O23" s="74"/>
    </row>
    <row r="24" spans="1:15" s="2" customFormat="1" x14ac:dyDescent="0.5">
      <c r="A24" s="74"/>
      <c r="B24" s="74"/>
      <c r="C24" s="74"/>
      <c r="D24" s="74"/>
      <c r="E24" s="74"/>
      <c r="F24" s="74"/>
      <c r="G24" s="106"/>
      <c r="H24" s="204" t="s">
        <v>33</v>
      </c>
      <c r="I24" s="205"/>
      <c r="J24" s="107"/>
      <c r="K24" s="116">
        <v>0.18</v>
      </c>
      <c r="L24" s="107"/>
      <c r="M24" s="108">
        <f>M23*K24</f>
        <v>701.22</v>
      </c>
      <c r="N24" s="74"/>
      <c r="O24" s="74"/>
    </row>
    <row r="25" spans="1:15" s="2" customFormat="1" ht="15" thickBot="1" x14ac:dyDescent="0.55000000000000004">
      <c r="A25" s="74"/>
      <c r="B25" s="74"/>
      <c r="C25" s="74"/>
      <c r="D25" s="74"/>
      <c r="E25" s="74"/>
      <c r="F25" s="74"/>
      <c r="G25" s="106"/>
      <c r="H25" s="206" t="s">
        <v>25</v>
      </c>
      <c r="I25" s="207"/>
      <c r="J25" s="111"/>
      <c r="K25" s="117" t="s">
        <v>19</v>
      </c>
      <c r="L25" s="111"/>
      <c r="M25" s="113">
        <f>M23+M24</f>
        <v>4596.87</v>
      </c>
      <c r="N25" s="74"/>
      <c r="O25" s="74"/>
    </row>
  </sheetData>
  <mergeCells count="20">
    <mergeCell ref="K2:M2"/>
    <mergeCell ref="D3:I3"/>
    <mergeCell ref="D4:I4"/>
    <mergeCell ref="D5:I5"/>
    <mergeCell ref="A8:A9"/>
    <mergeCell ref="B8:B9"/>
    <mergeCell ref="C8:C9"/>
    <mergeCell ref="D8:D9"/>
    <mergeCell ref="E8:F8"/>
    <mergeCell ref="I8:J8"/>
    <mergeCell ref="K8:L8"/>
    <mergeCell ref="M8:M9"/>
    <mergeCell ref="B10:C10"/>
    <mergeCell ref="G8:H8"/>
    <mergeCell ref="H25:I25"/>
    <mergeCell ref="H20:I20"/>
    <mergeCell ref="H21:I21"/>
    <mergeCell ref="H22:I22"/>
    <mergeCell ref="H23:I23"/>
    <mergeCell ref="H24:I24"/>
  </mergeCells>
  <pageMargins left="0.45" right="0.2" top="0.5" bottom="0.25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TOTAL</vt:lpstr>
      <vt:lpstr>Unit Price Assumptions</vt:lpstr>
      <vt:lpstr>Site Preparation Works</vt:lpstr>
      <vt:lpstr>-13.730</vt:lpstr>
      <vt:lpstr>-10.430</vt:lpstr>
      <vt:lpstr>-7.130</vt:lpstr>
      <vt:lpstr>-3.230</vt:lpstr>
      <vt:lpstr>+0.370</vt:lpstr>
      <vt:lpstr>+3.970</vt:lpstr>
      <vt:lpstr>+7.570</vt:lpstr>
      <vt:lpstr>+10.870</vt:lpstr>
      <vt:lpstr>+13.770</vt:lpstr>
      <vt:lpstr>'+0.370'!Print_Area</vt:lpstr>
      <vt:lpstr>'+13.770'!Print_Area</vt:lpstr>
      <vt:lpstr>'+3.970'!Print_Area</vt:lpstr>
      <vt:lpstr>'-7.130'!Print_Area</vt:lpstr>
      <vt:lpstr>'+10.870'!Print_Titles</vt:lpstr>
      <vt:lpstr>'+7.570'!Print_Titles</vt:lpstr>
      <vt:lpstr>'-10.430'!Print_Titles</vt:lpstr>
      <vt:lpstr>'-13.730'!Print_Titles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2018-02-21T10:39:56Z</dcterms:modified>
</cp:coreProperties>
</file>